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12000" tabRatio="500" activeTab="1"/>
  </bookViews>
  <sheets>
    <sheet name="Прил 3(5)" sheetId="1" r:id="rId1"/>
    <sheet name="Прил 6 (8)" sheetId="2" r:id="rId2"/>
    <sheet name="Прил 7 страннотчет " sheetId="3" state="hidden" r:id="rId3"/>
    <sheet name="ВВ (прил. 9)" sheetId="5" state="hidden" r:id="rId4"/>
    <sheet name="Расх.на рек. (прил. 10)" sheetId="6" state="hidden" r:id="rId5"/>
    <sheet name="Кап.рем. (прил.2)" sheetId="7" state="hidden" r:id="rId6"/>
    <sheet name="ИП выполнение (прил. 3)" sheetId="8" state="hidden" r:id="rId7"/>
    <sheet name="ИП финансир (прил. 4)" sheetId="9" state="hidden" r:id="rId8"/>
    <sheet name="Прил.9 корр" sheetId="10" state="hidden" r:id="rId9"/>
    <sheet name="Прил.10 корр" sheetId="11" state="hidden" r:id="rId10"/>
    <sheet name="Расчет потерь, аварийности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prd2" localSheetId="1">#REF!</definedName>
    <definedName name="_prd2" localSheetId="2">#REF!</definedName>
    <definedName name="_prd2" localSheetId="4">#REF!</definedName>
    <definedName name="_prd2">#REF!</definedName>
    <definedName name="_xlnm._FilterDatabase" localSheetId="0">'Прил 3(5)'!$A$12:$AB$61</definedName>
    <definedName name="aaaa" localSheetId="0">p1_t2_diapprot,p2_t2_diapprot</definedName>
    <definedName name="aaaa" localSheetId="1">p1_t2_diapprot,p2_t2_diapprot</definedName>
    <definedName name="aaaa" localSheetId="2">p1_t2_diapprot,p2_t2_diapprot</definedName>
    <definedName name="aaaa" localSheetId="4">p1_t2_diapprot,p2_t2_diapprot</definedName>
    <definedName name="aaaa">p1_t2_diapprot,p2_t2_diapprot</definedName>
    <definedName name="codeTemplates" localSheetId="0">#REF!</definedName>
    <definedName name="codeTemplates" localSheetId="1">#REF!</definedName>
    <definedName name="codeTemplates" localSheetId="2">#REF!</definedName>
    <definedName name="codeTemplates" localSheetId="4">#REF!</definedName>
    <definedName name="codeTemplates">#REF!</definedName>
    <definedName name="DAYS">[1]TEHSHEET!$H$1:$H$31</definedName>
    <definedName name="fil" localSheetId="0">#REF!</definedName>
    <definedName name="fil" localSheetId="1">#REF!</definedName>
    <definedName name="fil" localSheetId="2">#REF!</definedName>
    <definedName name="fil" localSheetId="4">#REF!</definedName>
    <definedName name="fil">#REF!</definedName>
    <definedName name="god" localSheetId="1">#REF!</definedName>
    <definedName name="god" localSheetId="2">#REF!</definedName>
    <definedName name="god" localSheetId="4">#REF!</definedName>
    <definedName name="god">#REF!</definedName>
    <definedName name="inn" localSheetId="1">#REF!</definedName>
    <definedName name="inn" localSheetId="2">#REF!</definedName>
    <definedName name="inn" localSheetId="4">#REF!</definedName>
    <definedName name="inn">#REF!</definedName>
    <definedName name="kind_of_activity">[2]TEHSHEET!$B$19:$B$25</definedName>
    <definedName name="kpp" localSheetId="0">#REF!</definedName>
    <definedName name="kpp" localSheetId="1">#REF!</definedName>
    <definedName name="kpp" localSheetId="2">#REF!</definedName>
    <definedName name="kpp" localSheetId="4">#REF!</definedName>
    <definedName name="kpp">#REF!</definedName>
    <definedName name="kvartal">[3]TEHSHEET!$B$2:$B$5</definedName>
    <definedName name="logic">[3]TEHSHEET!$A$2:$A$3</definedName>
    <definedName name="mo" localSheetId="0">#REF!</definedName>
    <definedName name="mo" localSheetId="1">#REF!</definedName>
    <definedName name="mo" localSheetId="2">#REF!</definedName>
    <definedName name="mo" localSheetId="4">#REF!</definedName>
    <definedName name="mo">#REF!</definedName>
    <definedName name="MO_LIST_17">[3]REESTR_MO!$B$169:$B$182</definedName>
    <definedName name="MONEY">[1]TEHSHEET!$K$1:$K$2</definedName>
    <definedName name="MONTHS">[1]TEHSHEET!$G$1:$G$12</definedName>
    <definedName name="MONTHS1">[1]TEHSHEET!$L$1:$L$12</definedName>
    <definedName name="mr" localSheetId="0">#REF!</definedName>
    <definedName name="mr" localSheetId="1">#REF!</definedName>
    <definedName name="mr" localSheetId="2">#REF!</definedName>
    <definedName name="mr" localSheetId="4">#REF!</definedName>
    <definedName name="mr">#REF!</definedName>
    <definedName name="MR_LIST">[3]REESTR_MO!$D$2:$D$38</definedName>
    <definedName name="MUNRAION">[1]TEHSHEET!$A$2:$A$39</definedName>
    <definedName name="oktmo_n" localSheetId="0">#REF!</definedName>
    <definedName name="oktmo_n" localSheetId="1">#REF!</definedName>
    <definedName name="oktmo_n" localSheetId="2">#REF!</definedName>
    <definedName name="oktmo_n" localSheetId="4">#REF!</definedName>
    <definedName name="oktmo_n">#REF!</definedName>
    <definedName name="org" localSheetId="1">#REF!</definedName>
    <definedName name="org" localSheetId="2">#REF!</definedName>
    <definedName name="org" localSheetId="4">#REF!</definedName>
    <definedName name="org">#REF!</definedName>
    <definedName name="p1_rst_1">[4]Лист2!$A$1</definedName>
    <definedName name="PERIOD1">[1]TEHSHEET!$O$2:$O$5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[3]Титульный!$G$7</definedName>
    <definedName name="SCOPE_16_PRT" localSheetId="0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 localSheetId="4">p1_scope_16_prt,p2_scope_16_prt</definedName>
    <definedName name="SCOPE_16_PRT">p1_scope_16_prt,p2_scope_16_prt</definedName>
    <definedName name="SCOPE_DATA1" localSheetId="0">#REF!</definedName>
    <definedName name="SCOPE_DATA1" localSheetId="1">#REF!</definedName>
    <definedName name="SCOPE_DATA1" localSheetId="2">#REF!</definedName>
    <definedName name="SCOPE_DATA1" localSheetId="4">#REF!</definedName>
    <definedName name="SCOPE_DATA1">#REF!</definedName>
    <definedName name="SCOPE_DATA2" localSheetId="1">#REF!</definedName>
    <definedName name="SCOPE_DATA2" localSheetId="2">#REF!</definedName>
    <definedName name="SCOPE_DATA2" localSheetId="4">#REF!</definedName>
    <definedName name="SCOPE_DATA2">#REF!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TATUS_SH">[1]Паспорт!$BF$2:$BF$3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 localSheetId="4">p1_t2_diapprot,p2_t2_diapprot</definedName>
    <definedName name="T2_DiapProt">p1_t2_diapprot,p2_t2_diapprot</definedName>
    <definedName name="T6_Protect" localSheetId="0">p1_t6_protect,p2_t6_protect</definedName>
    <definedName name="T6_Protect" localSheetId="1">p1_t6_protect,p2_t6_protect</definedName>
    <definedName name="T6_Protect" localSheetId="2">p1_t6_protect,p2_t6_protect</definedName>
    <definedName name="T6_Protect" localSheetId="4">p1_t6_protect,p2_t6_protect</definedName>
    <definedName name="T6_Protect">p1_t6_protect,p2_t6_protect</definedName>
    <definedName name="TEMPLATE_SPHERE">[5]TECHSHEET!$E$6</definedName>
    <definedName name="version" localSheetId="0">#REF!</definedName>
    <definedName name="version" localSheetId="1">#REF!</definedName>
    <definedName name="version" localSheetId="2">#REF!</definedName>
    <definedName name="version" localSheetId="4">#REF!</definedName>
    <definedName name="version">#REF!</definedName>
    <definedName name="YEAR">[3]TEHSHEET!$C$2:$C$11</definedName>
    <definedName name="YEARS">[1]TEHSHEET!$I$1:$I$20</definedName>
    <definedName name="YES_NO">[1]TEHSHEET!$J$1:$J$2</definedName>
    <definedName name="БазовыйПериод">[1]Заголовок2!$B$15</definedName>
    <definedName name="вапывап" localSheetId="0">p1_scope_sv_prt,p2_scope_sv_prt,p3_scope_sv_prt</definedName>
    <definedName name="вапывап" localSheetId="1">p1_scope_sv_prt,p2_scope_sv_prt,p3_scope_sv_prt</definedName>
    <definedName name="вапывап" localSheetId="2">p1_scope_sv_prt,p2_scope_sv_prt,p3_scope_sv_prt</definedName>
    <definedName name="вапывап" localSheetId="4">p1_scope_sv_prt,p2_scope_sv_prt,p3_scope_sv_prt</definedName>
    <definedName name="вапывап">p1_scope_sv_prt,p2_scope_sv_prt,p3_scope_sv_prt</definedName>
    <definedName name="_xlnm.Print_Titles" localSheetId="3">'ВВ (прил. 9)'!$5:$8</definedName>
    <definedName name="_xlnm.Print_Titles" localSheetId="6">'ИП выполнение (прил. 3)'!$6:$6</definedName>
    <definedName name="_xlnm.Print_Titles" localSheetId="7">'ИП финансир (прил. 4)'!$6:$7</definedName>
    <definedName name="_xlnm.Print_Titles" localSheetId="5">'Кап.рем. (прил.2)'!$6:$7</definedName>
    <definedName name="_xlnm.Print_Titles" localSheetId="0">'Прил 3(5)'!$12:$12</definedName>
    <definedName name="_xlnm.Print_Titles" localSheetId="1">'Прил 6 (8)'!$10:$10</definedName>
    <definedName name="_xlnm.Print_Titles" localSheetId="2">'Прил 7 страннотчет '!$4:$8</definedName>
    <definedName name="_xlnm.Print_Area" localSheetId="3">'ВВ (прил. 9)'!$A$1:$CO$75</definedName>
    <definedName name="_xlnm.Print_Area" localSheetId="5">'Кап.рем. (прил.2)'!$A$1:$K$28</definedName>
    <definedName name="_xlnm.Print_Area" localSheetId="0">'Прил 3(5)'!$A$1:$AC$72</definedName>
    <definedName name="_xlnm.Print_Area" localSheetId="1">'Прил 6 (8)'!$A$1:$AA$123</definedName>
    <definedName name="_xlnm.Print_Area" localSheetId="2">'Прил 7 страннотчет '!$A$1:$AE$112</definedName>
    <definedName name="_xlnm.Print_Area" localSheetId="4">'Расх.на рек. (прил. 10)'!$A$1:$AC$48</definedName>
  </definedNames>
  <calcPr calcId="144525"/>
</workbook>
</file>

<file path=xl/calcChain.xml><?xml version="1.0" encoding="utf-8"?>
<calcChain xmlns="http://schemas.openxmlformats.org/spreadsheetml/2006/main">
  <c r="L46" i="1" l="1"/>
  <c r="M46" i="1" s="1"/>
  <c r="AA98" i="2"/>
  <c r="AA101" i="2"/>
  <c r="U33" i="12"/>
  <c r="U35" i="12" s="1"/>
  <c r="T33" i="12"/>
  <c r="T35" i="12" s="1"/>
  <c r="S33" i="12"/>
  <c r="S35" i="12" s="1"/>
  <c r="R33" i="12"/>
  <c r="R35" i="12" s="1"/>
  <c r="Q33" i="12"/>
  <c r="Q35" i="12" s="1"/>
  <c r="P33" i="12"/>
  <c r="P35" i="12"/>
  <c r="O33" i="12"/>
  <c r="O35" i="12" s="1"/>
  <c r="N33" i="12"/>
  <c r="N35" i="12" s="1"/>
  <c r="M33" i="12"/>
  <c r="M35" i="12" s="1"/>
  <c r="L33" i="12"/>
  <c r="L35" i="12"/>
  <c r="K33" i="12"/>
  <c r="K35" i="12" s="1"/>
  <c r="J33" i="12"/>
  <c r="J35" i="12"/>
  <c r="I33" i="12"/>
  <c r="I35" i="12" s="1"/>
  <c r="H33" i="12"/>
  <c r="H32" i="12" s="1"/>
  <c r="H35" i="12"/>
  <c r="G33" i="12"/>
  <c r="G35" i="12"/>
  <c r="F33" i="12"/>
  <c r="F35" i="12"/>
  <c r="E33" i="12"/>
  <c r="E32" i="12" s="1"/>
  <c r="D33" i="12"/>
  <c r="D35" i="12"/>
  <c r="C33" i="12"/>
  <c r="C35" i="12"/>
  <c r="B35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G32" i="12"/>
  <c r="F32" i="12"/>
  <c r="D32" i="12"/>
  <c r="C32" i="12"/>
  <c r="H25" i="12"/>
  <c r="I25" i="12"/>
  <c r="J25" i="12" s="1"/>
  <c r="H24" i="12"/>
  <c r="G24" i="12"/>
  <c r="F24" i="12"/>
  <c r="E24" i="12"/>
  <c r="D24" i="12"/>
  <c r="C24" i="12"/>
  <c r="B24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O6" i="12"/>
  <c r="O8" i="12" s="1"/>
  <c r="N15" i="12"/>
  <c r="D9" i="12"/>
  <c r="E9" i="12" s="1"/>
  <c r="D6" i="12"/>
  <c r="D4" i="12"/>
  <c r="D8" i="12" s="1"/>
  <c r="D15" i="12" s="1"/>
  <c r="C15" i="12"/>
  <c r="B15" i="12"/>
  <c r="O4" i="12"/>
  <c r="O14" i="12"/>
  <c r="N6" i="12"/>
  <c r="N4" i="12" s="1"/>
  <c r="N14" i="12" s="1"/>
  <c r="C6" i="12"/>
  <c r="C4" i="12"/>
  <c r="C14" i="12"/>
  <c r="B14" i="12"/>
  <c r="O12" i="12"/>
  <c r="O13" i="12" s="1"/>
  <c r="N12" i="12"/>
  <c r="N13" i="12"/>
  <c r="D12" i="12"/>
  <c r="D13" i="12" s="1"/>
  <c r="C12" i="12"/>
  <c r="C13" i="12" s="1"/>
  <c r="B12" i="12"/>
  <c r="B13" i="12"/>
  <c r="AB26" i="11"/>
  <c r="AB75" i="11" s="1"/>
  <c r="AB27" i="11"/>
  <c r="AA26" i="11"/>
  <c r="AA75" i="11" s="1"/>
  <c r="AA27" i="11"/>
  <c r="Z26" i="11"/>
  <c r="Z27" i="11"/>
  <c r="Z75" i="11"/>
  <c r="Y26" i="11"/>
  <c r="Y75" i="11" s="1"/>
  <c r="Y27" i="11"/>
  <c r="X26" i="11"/>
  <c r="X75" i="11" s="1"/>
  <c r="X27" i="11"/>
  <c r="W26" i="11"/>
  <c r="W75" i="11" s="1"/>
  <c r="W27" i="11"/>
  <c r="V26" i="11"/>
  <c r="V27" i="11"/>
  <c r="V75" i="11"/>
  <c r="U26" i="11"/>
  <c r="U27" i="11"/>
  <c r="U75" i="11"/>
  <c r="T26" i="11"/>
  <c r="T75" i="11" s="1"/>
  <c r="T27" i="11"/>
  <c r="S26" i="11"/>
  <c r="S75" i="11" s="1"/>
  <c r="S27" i="11"/>
  <c r="R26" i="11"/>
  <c r="R27" i="11"/>
  <c r="R75" i="11"/>
  <c r="Q26" i="11"/>
  <c r="Q75" i="11" s="1"/>
  <c r="Q27" i="11"/>
  <c r="P26" i="11"/>
  <c r="P75" i="11" s="1"/>
  <c r="P27" i="11"/>
  <c r="O26" i="11"/>
  <c r="O75" i="11" s="1"/>
  <c r="O27" i="11"/>
  <c r="N26" i="11"/>
  <c r="N27" i="11"/>
  <c r="N75" i="11"/>
  <c r="M26" i="11"/>
  <c r="M27" i="11"/>
  <c r="M75" i="11"/>
  <c r="L26" i="11"/>
  <c r="L75" i="11" s="1"/>
  <c r="L27" i="11"/>
  <c r="K26" i="11"/>
  <c r="K75" i="11" s="1"/>
  <c r="K27" i="11"/>
  <c r="J26" i="11"/>
  <c r="J27" i="11"/>
  <c r="J75" i="11"/>
  <c r="AB14" i="11"/>
  <c r="AB15" i="11"/>
  <c r="AB74" i="11"/>
  <c r="AA14" i="11"/>
  <c r="AA15" i="11"/>
  <c r="AA74" i="11"/>
  <c r="Z14" i="11"/>
  <c r="Z74" i="11" s="1"/>
  <c r="Z15" i="11"/>
  <c r="Y14" i="11"/>
  <c r="Y15" i="11"/>
  <c r="Y74" i="11" s="1"/>
  <c r="X14" i="11"/>
  <c r="X15" i="11"/>
  <c r="X74" i="11" s="1"/>
  <c r="W14" i="11"/>
  <c r="W74" i="11" s="1"/>
  <c r="W15" i="11"/>
  <c r="V14" i="11"/>
  <c r="V74" i="11" s="1"/>
  <c r="V15" i="11"/>
  <c r="U14" i="11"/>
  <c r="U15" i="11"/>
  <c r="U74" i="11"/>
  <c r="T14" i="11"/>
  <c r="T15" i="11"/>
  <c r="T74" i="11"/>
  <c r="S14" i="11"/>
  <c r="S74" i="11" s="1"/>
  <c r="S15" i="11"/>
  <c r="R14" i="11"/>
  <c r="R74" i="11" s="1"/>
  <c r="R15" i="11"/>
  <c r="Q14" i="11"/>
  <c r="Q74" i="11" s="1"/>
  <c r="Q15" i="11"/>
  <c r="P14" i="11"/>
  <c r="P15" i="11"/>
  <c r="P74" i="11"/>
  <c r="O14" i="11"/>
  <c r="O74" i="11" s="1"/>
  <c r="O15" i="11"/>
  <c r="N14" i="11"/>
  <c r="N74" i="11" s="1"/>
  <c r="N15" i="11"/>
  <c r="M14" i="11"/>
  <c r="M15" i="11"/>
  <c r="M74" i="11"/>
  <c r="L14" i="11"/>
  <c r="L15" i="11"/>
  <c r="L74" i="11"/>
  <c r="K14" i="11"/>
  <c r="K74" i="11" s="1"/>
  <c r="K15" i="11"/>
  <c r="J14" i="11"/>
  <c r="J74" i="11" s="1"/>
  <c r="J15" i="11"/>
  <c r="C72" i="11"/>
  <c r="C71" i="11"/>
  <c r="D71" i="11" s="1"/>
  <c r="C70" i="11"/>
  <c r="D72" i="11" s="1"/>
  <c r="AB68" i="11"/>
  <c r="AA68" i="11"/>
  <c r="Z68" i="11"/>
  <c r="Y68" i="11"/>
  <c r="L49" i="11"/>
  <c r="L54" i="11" s="1"/>
  <c r="K49" i="11"/>
  <c r="K54" i="11" s="1"/>
  <c r="J49" i="11"/>
  <c r="J54" i="11" s="1"/>
  <c r="AB67" i="11"/>
  <c r="AA67" i="11"/>
  <c r="Z67" i="11"/>
  <c r="Y67" i="11"/>
  <c r="X53" i="11"/>
  <c r="X60" i="11" s="1"/>
  <c r="W53" i="11"/>
  <c r="W57" i="11" s="1"/>
  <c r="V53" i="11"/>
  <c r="U53" i="11"/>
  <c r="U57" i="11" s="1"/>
  <c r="T53" i="11"/>
  <c r="T60" i="11" s="1"/>
  <c r="S53" i="11"/>
  <c r="S57" i="11" s="1"/>
  <c r="R53" i="11"/>
  <c r="R60" i="11" s="1"/>
  <c r="Q53" i="11"/>
  <c r="Q57" i="11" s="1"/>
  <c r="P53" i="11"/>
  <c r="P60" i="11" s="1"/>
  <c r="O53" i="11"/>
  <c r="O57" i="11" s="1"/>
  <c r="N53" i="11"/>
  <c r="M53" i="11"/>
  <c r="M57" i="11" s="1"/>
  <c r="L53" i="11"/>
  <c r="L60" i="11" s="1"/>
  <c r="K53" i="11"/>
  <c r="K57" i="11" s="1"/>
  <c r="J53" i="11"/>
  <c r="J60" i="11" s="1"/>
  <c r="D53" i="11"/>
  <c r="AB66" i="11"/>
  <c r="AA66" i="11"/>
  <c r="Z66" i="11"/>
  <c r="Y66" i="11"/>
  <c r="X52" i="11"/>
  <c r="X56" i="11" s="1"/>
  <c r="W52" i="11"/>
  <c r="W59" i="11" s="1"/>
  <c r="V52" i="11"/>
  <c r="V56" i="11" s="1"/>
  <c r="U52" i="11"/>
  <c r="U59" i="11" s="1"/>
  <c r="T52" i="11"/>
  <c r="T56" i="11" s="1"/>
  <c r="S52" i="11"/>
  <c r="S59" i="11" s="1"/>
  <c r="R52" i="11"/>
  <c r="Q52" i="11"/>
  <c r="Q59" i="11" s="1"/>
  <c r="P52" i="11"/>
  <c r="P56" i="11" s="1"/>
  <c r="O52" i="11"/>
  <c r="O59" i="11" s="1"/>
  <c r="N52" i="11"/>
  <c r="N56" i="11" s="1"/>
  <c r="M52" i="11"/>
  <c r="M59" i="11" s="1"/>
  <c r="L52" i="11"/>
  <c r="L56" i="11" s="1"/>
  <c r="K52" i="11"/>
  <c r="K59" i="11" s="1"/>
  <c r="J52" i="11"/>
  <c r="C52" i="11"/>
  <c r="D49" i="11"/>
  <c r="AB37" i="11"/>
  <c r="AB38" i="11"/>
  <c r="AB41" i="11"/>
  <c r="AB48" i="11" s="1"/>
  <c r="AA37" i="11"/>
  <c r="AA38" i="11"/>
  <c r="AA41" i="11"/>
  <c r="AA48" i="11" s="1"/>
  <c r="Z37" i="11"/>
  <c r="Z38" i="11"/>
  <c r="Z41" i="11"/>
  <c r="Z48" i="11"/>
  <c r="Y37" i="11"/>
  <c r="Y38" i="11"/>
  <c r="Y41" i="11"/>
  <c r="Y48" i="11" s="1"/>
  <c r="X37" i="11"/>
  <c r="X38" i="11"/>
  <c r="X41" i="11"/>
  <c r="X48" i="11"/>
  <c r="W37" i="11"/>
  <c r="W38" i="11"/>
  <c r="W41" i="11"/>
  <c r="W48" i="11" s="1"/>
  <c r="V37" i="11"/>
  <c r="V38" i="11"/>
  <c r="V41" i="11"/>
  <c r="V48" i="11" s="1"/>
  <c r="U37" i="11"/>
  <c r="U38" i="11"/>
  <c r="U41" i="11"/>
  <c r="U48" i="11" s="1"/>
  <c r="T37" i="11"/>
  <c r="T38" i="11"/>
  <c r="T41" i="11"/>
  <c r="T48" i="11"/>
  <c r="S37" i="11"/>
  <c r="S38" i="11"/>
  <c r="S41" i="11"/>
  <c r="S48" i="11" s="1"/>
  <c r="R37" i="11"/>
  <c r="R38" i="11"/>
  <c r="R41" i="11"/>
  <c r="R48" i="11"/>
  <c r="Q37" i="11"/>
  <c r="Q38" i="11"/>
  <c r="Q41" i="11"/>
  <c r="Q48" i="11" s="1"/>
  <c r="P37" i="11"/>
  <c r="P38" i="11"/>
  <c r="P41" i="11"/>
  <c r="P48" i="11"/>
  <c r="O37" i="11"/>
  <c r="O38" i="11"/>
  <c r="O41" i="11"/>
  <c r="O48" i="11" s="1"/>
  <c r="N37" i="11"/>
  <c r="N38" i="11"/>
  <c r="N41" i="11"/>
  <c r="N48" i="11"/>
  <c r="M37" i="11"/>
  <c r="M38" i="11"/>
  <c r="M41" i="11"/>
  <c r="M48" i="11" s="1"/>
  <c r="L37" i="11"/>
  <c r="L38" i="11"/>
  <c r="K37" i="11"/>
  <c r="K38" i="11"/>
  <c r="J37" i="11"/>
  <c r="J38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14" i="11"/>
  <c r="I37" i="11" s="1"/>
  <c r="I26" i="11"/>
  <c r="I15" i="11"/>
  <c r="I27" i="11"/>
  <c r="I38" i="11"/>
  <c r="H14" i="11"/>
  <c r="H26" i="11"/>
  <c r="H37" i="11"/>
  <c r="H15" i="11"/>
  <c r="H27" i="11"/>
  <c r="H38" i="11" s="1"/>
  <c r="G14" i="11"/>
  <c r="G37" i="11" s="1"/>
  <c r="G26" i="11"/>
  <c r="G15" i="11"/>
  <c r="G38" i="11" s="1"/>
  <c r="G27" i="11"/>
  <c r="F14" i="11"/>
  <c r="F37" i="11" s="1"/>
  <c r="F26" i="11"/>
  <c r="F15" i="11"/>
  <c r="F38" i="11" s="1"/>
  <c r="F27" i="11"/>
  <c r="E14" i="11"/>
  <c r="E26" i="11"/>
  <c r="E37" i="11"/>
  <c r="E46" i="11" s="1"/>
  <c r="E15" i="11"/>
  <c r="E27" i="11"/>
  <c r="E38" i="11"/>
  <c r="D14" i="11"/>
  <c r="D37" i="11" s="1"/>
  <c r="D26" i="11"/>
  <c r="D15" i="11"/>
  <c r="D38" i="11" s="1"/>
  <c r="D27" i="11"/>
  <c r="C37" i="11"/>
  <c r="C38" i="11"/>
  <c r="C46" i="11"/>
  <c r="AB17" i="11"/>
  <c r="AB40" i="11" s="1"/>
  <c r="AB44" i="11" s="1"/>
  <c r="AB29" i="11"/>
  <c r="AA17" i="11"/>
  <c r="AA40" i="11" s="1"/>
  <c r="AA44" i="11" s="1"/>
  <c r="AA29" i="11"/>
  <c r="Z17" i="11"/>
  <c r="Z40" i="11" s="1"/>
  <c r="Z44" i="11" s="1"/>
  <c r="Z29" i="11"/>
  <c r="Y17" i="11"/>
  <c r="Y40" i="11" s="1"/>
  <c r="Y44" i="11" s="1"/>
  <c r="Y29" i="11"/>
  <c r="X17" i="11"/>
  <c r="X40" i="11" s="1"/>
  <c r="X44" i="11" s="1"/>
  <c r="X29" i="11"/>
  <c r="W17" i="11"/>
  <c r="W40" i="11" s="1"/>
  <c r="W44" i="11" s="1"/>
  <c r="W29" i="11"/>
  <c r="V17" i="11"/>
  <c r="V40" i="11" s="1"/>
  <c r="V44" i="11" s="1"/>
  <c r="V29" i="11"/>
  <c r="U17" i="11"/>
  <c r="U40" i="11" s="1"/>
  <c r="U44" i="11" s="1"/>
  <c r="U29" i="11"/>
  <c r="T17" i="11"/>
  <c r="T40" i="11" s="1"/>
  <c r="T44" i="11" s="1"/>
  <c r="T29" i="11"/>
  <c r="S17" i="11"/>
  <c r="S40" i="11" s="1"/>
  <c r="S44" i="11" s="1"/>
  <c r="S29" i="11"/>
  <c r="R17" i="11"/>
  <c r="R40" i="11" s="1"/>
  <c r="R44" i="11" s="1"/>
  <c r="R29" i="11"/>
  <c r="Q17" i="11"/>
  <c r="Q40" i="11" s="1"/>
  <c r="Q44" i="11" s="1"/>
  <c r="Q29" i="11"/>
  <c r="P17" i="11"/>
  <c r="P40" i="11" s="1"/>
  <c r="P44" i="11" s="1"/>
  <c r="P29" i="11"/>
  <c r="O17" i="11"/>
  <c r="O40" i="11" s="1"/>
  <c r="O44" i="11" s="1"/>
  <c r="O29" i="11"/>
  <c r="N17" i="11"/>
  <c r="N40" i="11" s="1"/>
  <c r="N44" i="11" s="1"/>
  <c r="N29" i="11"/>
  <c r="M17" i="11"/>
  <c r="M40" i="11" s="1"/>
  <c r="M44" i="11" s="1"/>
  <c r="M29" i="11"/>
  <c r="L17" i="11"/>
  <c r="L40" i="11" s="1"/>
  <c r="L44" i="11" s="1"/>
  <c r="L29" i="11"/>
  <c r="K17" i="11"/>
  <c r="K40" i="11" s="1"/>
  <c r="K44" i="11" s="1"/>
  <c r="K29" i="11"/>
  <c r="J17" i="11"/>
  <c r="J40" i="11" s="1"/>
  <c r="J44" i="11" s="1"/>
  <c r="J29" i="11"/>
  <c r="I17" i="11"/>
  <c r="I40" i="11" s="1"/>
  <c r="I29" i="11"/>
  <c r="H17" i="11"/>
  <c r="H40" i="11" s="1"/>
  <c r="H29" i="11"/>
  <c r="G17" i="11"/>
  <c r="G40" i="11" s="1"/>
  <c r="G29" i="11"/>
  <c r="F17" i="11"/>
  <c r="F40" i="11" s="1"/>
  <c r="F29" i="11"/>
  <c r="E17" i="11"/>
  <c r="E40" i="11" s="1"/>
  <c r="E44" i="11" s="1"/>
  <c r="E29" i="11"/>
  <c r="D17" i="11"/>
  <c r="D40" i="11" s="1"/>
  <c r="D29" i="11"/>
  <c r="C40" i="11"/>
  <c r="C44" i="11" s="1"/>
  <c r="I41" i="11"/>
  <c r="H41" i="11"/>
  <c r="G41" i="11"/>
  <c r="F18" i="11"/>
  <c r="F41" i="11" s="1"/>
  <c r="E18" i="11"/>
  <c r="E41" i="11"/>
  <c r="C41" i="11"/>
  <c r="AC40" i="11"/>
  <c r="AD40" i="11" s="1"/>
  <c r="AC39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Y39" i="11" s="1"/>
  <c r="Z16" i="11"/>
  <c r="AA16" i="11"/>
  <c r="AB16" i="11"/>
  <c r="E28" i="11"/>
  <c r="F28" i="11"/>
  <c r="G28" i="11"/>
  <c r="H28" i="11"/>
  <c r="D28" i="11" s="1"/>
  <c r="I28" i="11"/>
  <c r="J28" i="11"/>
  <c r="K28" i="11"/>
  <c r="L28" i="11"/>
  <c r="M28" i="11"/>
  <c r="N28" i="11"/>
  <c r="O28" i="11"/>
  <c r="P28" i="11"/>
  <c r="Q28" i="11"/>
  <c r="Q39" i="11" s="1"/>
  <c r="R28" i="11"/>
  <c r="S28" i="11"/>
  <c r="T28" i="11"/>
  <c r="U28" i="11"/>
  <c r="V28" i="11"/>
  <c r="W28" i="11"/>
  <c r="X28" i="11"/>
  <c r="Y28" i="11"/>
  <c r="Z28" i="11"/>
  <c r="AA28" i="11"/>
  <c r="AB28" i="11"/>
  <c r="AB25" i="11" s="1"/>
  <c r="AB24" i="11" s="1"/>
  <c r="AB35" i="11" s="1"/>
  <c r="AA39" i="11"/>
  <c r="Z39" i="11"/>
  <c r="X39" i="11"/>
  <c r="W39" i="11"/>
  <c r="V39" i="11"/>
  <c r="U39" i="11"/>
  <c r="T39" i="11"/>
  <c r="S39" i="11"/>
  <c r="R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C39" i="11"/>
  <c r="AC38" i="11"/>
  <c r="AD38" i="11" s="1"/>
  <c r="AC37" i="11"/>
  <c r="AB13" i="11"/>
  <c r="AB36" i="11" s="1"/>
  <c r="AA13" i="11"/>
  <c r="AA36" i="11" s="1"/>
  <c r="AA25" i="11"/>
  <c r="Z13" i="11"/>
  <c r="Z25" i="11"/>
  <c r="Z36" i="11" s="1"/>
  <c r="Y13" i="11"/>
  <c r="Y25" i="11"/>
  <c r="Y36" i="11"/>
  <c r="X13" i="11"/>
  <c r="X36" i="11" s="1"/>
  <c r="X25" i="11"/>
  <c r="W13" i="11"/>
  <c r="W36" i="11" s="1"/>
  <c r="W25" i="11"/>
  <c r="V13" i="11"/>
  <c r="V25" i="11"/>
  <c r="V36" i="11" s="1"/>
  <c r="U13" i="11"/>
  <c r="U25" i="11"/>
  <c r="U36" i="11"/>
  <c r="T13" i="11"/>
  <c r="T36" i="11" s="1"/>
  <c r="T25" i="11"/>
  <c r="S13" i="11"/>
  <c r="S36" i="11" s="1"/>
  <c r="S25" i="11"/>
  <c r="R13" i="11"/>
  <c r="R25" i="11"/>
  <c r="R36" i="11" s="1"/>
  <c r="Q13" i="11"/>
  <c r="Q25" i="11"/>
  <c r="Q36" i="11"/>
  <c r="P13" i="11"/>
  <c r="P36" i="11" s="1"/>
  <c r="P25" i="11"/>
  <c r="O13" i="11"/>
  <c r="O36" i="11" s="1"/>
  <c r="O25" i="11"/>
  <c r="N13" i="11"/>
  <c r="N25" i="11"/>
  <c r="N36" i="11" s="1"/>
  <c r="M13" i="11"/>
  <c r="M25" i="11"/>
  <c r="M36" i="11"/>
  <c r="L13" i="11"/>
  <c r="L36" i="11" s="1"/>
  <c r="L25" i="11"/>
  <c r="K13" i="11"/>
  <c r="K36" i="11" s="1"/>
  <c r="K25" i="11"/>
  <c r="J13" i="11"/>
  <c r="J25" i="11"/>
  <c r="J36" i="11" s="1"/>
  <c r="I13" i="11"/>
  <c r="I25" i="11"/>
  <c r="I36" i="11"/>
  <c r="H13" i="11"/>
  <c r="H36" i="11" s="1"/>
  <c r="H25" i="11"/>
  <c r="G13" i="11"/>
  <c r="G36" i="11" s="1"/>
  <c r="G25" i="11"/>
  <c r="F13" i="11"/>
  <c r="F25" i="11"/>
  <c r="F36" i="11" s="1"/>
  <c r="E13" i="11"/>
  <c r="E25" i="11"/>
  <c r="E36" i="11"/>
  <c r="C13" i="11"/>
  <c r="C36" i="11" s="1"/>
  <c r="C25" i="11"/>
  <c r="AB12" i="11"/>
  <c r="AA12" i="11"/>
  <c r="AA24" i="11"/>
  <c r="AA35" i="11"/>
  <c r="Z12" i="11"/>
  <c r="Z35" i="11" s="1"/>
  <c r="Z24" i="11"/>
  <c r="Y12" i="11"/>
  <c r="Y35" i="11" s="1"/>
  <c r="Y24" i="11"/>
  <c r="X12" i="11"/>
  <c r="X24" i="11"/>
  <c r="X35" i="11" s="1"/>
  <c r="W12" i="11"/>
  <c r="W24" i="11"/>
  <c r="W35" i="11"/>
  <c r="V12" i="11"/>
  <c r="V35" i="11" s="1"/>
  <c r="V24" i="11"/>
  <c r="U12" i="11"/>
  <c r="U35" i="11" s="1"/>
  <c r="U24" i="11"/>
  <c r="T12" i="11"/>
  <c r="T24" i="11"/>
  <c r="T35" i="11" s="1"/>
  <c r="S12" i="11"/>
  <c r="S24" i="11"/>
  <c r="S35" i="11"/>
  <c r="R12" i="11"/>
  <c r="R35" i="11" s="1"/>
  <c r="R24" i="11"/>
  <c r="Q12" i="11"/>
  <c r="Q35" i="11" s="1"/>
  <c r="Q24" i="11"/>
  <c r="P12" i="11"/>
  <c r="P24" i="11"/>
  <c r="P35" i="11" s="1"/>
  <c r="O12" i="11"/>
  <c r="O24" i="11"/>
  <c r="O35" i="11"/>
  <c r="N12" i="11"/>
  <c r="N35" i="11" s="1"/>
  <c r="N24" i="11"/>
  <c r="M12" i="11"/>
  <c r="M35" i="11" s="1"/>
  <c r="M24" i="11"/>
  <c r="I12" i="11"/>
  <c r="I35" i="11" s="1"/>
  <c r="I24" i="11"/>
  <c r="H12" i="11"/>
  <c r="H24" i="11"/>
  <c r="H35" i="11" s="1"/>
  <c r="G12" i="11"/>
  <c r="G24" i="11"/>
  <c r="G35" i="11"/>
  <c r="F12" i="11"/>
  <c r="F35" i="11" s="1"/>
  <c r="F24" i="11"/>
  <c r="E12" i="11"/>
  <c r="E35" i="11" s="1"/>
  <c r="E24" i="11"/>
  <c r="C12" i="11"/>
  <c r="C24" i="11"/>
  <c r="C35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11" i="11"/>
  <c r="D34" i="11" s="1"/>
  <c r="D23" i="11"/>
  <c r="C34" i="11"/>
  <c r="AB10" i="11"/>
  <c r="AB33" i="11" s="1"/>
  <c r="AB22" i="11"/>
  <c r="AA10" i="11"/>
  <c r="AA33" i="11" s="1"/>
  <c r="AA22" i="11"/>
  <c r="Z10" i="11"/>
  <c r="Z22" i="11"/>
  <c r="Z33" i="11" s="1"/>
  <c r="Y10" i="11"/>
  <c r="Y22" i="11"/>
  <c r="Y33" i="11"/>
  <c r="X10" i="11"/>
  <c r="X33" i="11" s="1"/>
  <c r="X22" i="11"/>
  <c r="W10" i="11"/>
  <c r="W33" i="11" s="1"/>
  <c r="W22" i="11"/>
  <c r="V10" i="11"/>
  <c r="V22" i="11"/>
  <c r="V33" i="11" s="1"/>
  <c r="U10" i="11"/>
  <c r="U22" i="11"/>
  <c r="U33" i="11"/>
  <c r="T10" i="11"/>
  <c r="T33" i="11" s="1"/>
  <c r="T22" i="11"/>
  <c r="S10" i="11"/>
  <c r="S33" i="11" s="1"/>
  <c r="S22" i="11"/>
  <c r="R10" i="11"/>
  <c r="R22" i="11"/>
  <c r="R33" i="11" s="1"/>
  <c r="Q10" i="11"/>
  <c r="Q22" i="11"/>
  <c r="Q33" i="11"/>
  <c r="P10" i="11"/>
  <c r="P33" i="11" s="1"/>
  <c r="P22" i="11"/>
  <c r="O10" i="11"/>
  <c r="O33" i="11" s="1"/>
  <c r="O22" i="11"/>
  <c r="N10" i="11"/>
  <c r="N22" i="11"/>
  <c r="N33" i="11"/>
  <c r="M10" i="11"/>
  <c r="M22" i="11"/>
  <c r="M33" i="11"/>
  <c r="L10" i="11"/>
  <c r="L33" i="11" s="1"/>
  <c r="L22" i="11"/>
  <c r="K10" i="11"/>
  <c r="K33" i="11" s="1"/>
  <c r="K22" i="11"/>
  <c r="J10" i="11"/>
  <c r="J22" i="11"/>
  <c r="J33" i="11" s="1"/>
  <c r="I10" i="11"/>
  <c r="I22" i="11"/>
  <c r="I33" i="11"/>
  <c r="H10" i="11"/>
  <c r="H22" i="11"/>
  <c r="G10" i="11"/>
  <c r="G33" i="11" s="1"/>
  <c r="G22" i="11"/>
  <c r="F10" i="11"/>
  <c r="F22" i="11"/>
  <c r="F33" i="11" s="1"/>
  <c r="E10" i="11"/>
  <c r="E22" i="11"/>
  <c r="E33" i="11"/>
  <c r="C10" i="11"/>
  <c r="C22" i="11"/>
  <c r="AB9" i="11"/>
  <c r="AB21" i="11"/>
  <c r="AB32" i="11" s="1"/>
  <c r="AA9" i="11"/>
  <c r="AA21" i="11"/>
  <c r="AA32" i="11"/>
  <c r="Z9" i="11"/>
  <c r="Z32" i="11" s="1"/>
  <c r="Z21" i="11"/>
  <c r="Y9" i="11"/>
  <c r="Y21" i="11"/>
  <c r="Y32" i="11"/>
  <c r="X9" i="11"/>
  <c r="X21" i="11"/>
  <c r="X32" i="11"/>
  <c r="W9" i="11"/>
  <c r="W21" i="11"/>
  <c r="W32" i="11"/>
  <c r="V9" i="11"/>
  <c r="V21" i="11"/>
  <c r="U9" i="11"/>
  <c r="U21" i="11"/>
  <c r="U32" i="11"/>
  <c r="T9" i="11"/>
  <c r="T21" i="11"/>
  <c r="T32" i="11"/>
  <c r="S9" i="11"/>
  <c r="S32" i="11" s="1"/>
  <c r="S21" i="11"/>
  <c r="R9" i="11"/>
  <c r="R21" i="11"/>
  <c r="R20" i="11" s="1"/>
  <c r="Q9" i="11"/>
  <c r="Q32" i="11" s="1"/>
  <c r="Q21" i="11"/>
  <c r="P9" i="11"/>
  <c r="P21" i="11"/>
  <c r="P32" i="11" s="1"/>
  <c r="O9" i="11"/>
  <c r="O21" i="11"/>
  <c r="N9" i="11"/>
  <c r="N32" i="11" s="1"/>
  <c r="N21" i="11"/>
  <c r="M9" i="11"/>
  <c r="M32" i="11" s="1"/>
  <c r="M21" i="11"/>
  <c r="I9" i="11"/>
  <c r="I32" i="11" s="1"/>
  <c r="I21" i="11"/>
  <c r="H9" i="11"/>
  <c r="H32" i="11" s="1"/>
  <c r="H21" i="11"/>
  <c r="G9" i="11"/>
  <c r="G21" i="11"/>
  <c r="F9" i="11"/>
  <c r="F32" i="11" s="1"/>
  <c r="F21" i="11"/>
  <c r="E9" i="11"/>
  <c r="E32" i="11" s="1"/>
  <c r="E21" i="11"/>
  <c r="C9" i="11"/>
  <c r="C21" i="11"/>
  <c r="C32" i="11"/>
  <c r="AB8" i="11"/>
  <c r="AA8" i="11"/>
  <c r="AA31" i="11" s="1"/>
  <c r="AA20" i="11"/>
  <c r="Z20" i="11"/>
  <c r="Y8" i="11"/>
  <c r="Y20" i="11"/>
  <c r="Y31" i="11" s="1"/>
  <c r="X8" i="11"/>
  <c r="X31" i="11" s="1"/>
  <c r="X20" i="11"/>
  <c r="W8" i="11"/>
  <c r="W31" i="11" s="1"/>
  <c r="W20" i="11"/>
  <c r="V8" i="11"/>
  <c r="V31" i="11" s="1"/>
  <c r="V20" i="11"/>
  <c r="U8" i="11"/>
  <c r="U20" i="11"/>
  <c r="U31" i="11"/>
  <c r="T8" i="11"/>
  <c r="T20" i="11"/>
  <c r="T31" i="11"/>
  <c r="S8" i="11"/>
  <c r="S31" i="11" s="1"/>
  <c r="S20" i="11"/>
  <c r="R8" i="11"/>
  <c r="R31" i="11" s="1"/>
  <c r="Q20" i="11"/>
  <c r="P8" i="11"/>
  <c r="P31" i="11" s="1"/>
  <c r="P20" i="11"/>
  <c r="O8" i="11"/>
  <c r="N8" i="11"/>
  <c r="N31" i="11" s="1"/>
  <c r="N20" i="11"/>
  <c r="M8" i="11"/>
  <c r="M20" i="11"/>
  <c r="M31" i="11"/>
  <c r="I20" i="11"/>
  <c r="H20" i="11"/>
  <c r="G8" i="11"/>
  <c r="F8" i="11"/>
  <c r="F31" i="11" s="1"/>
  <c r="F20" i="11"/>
  <c r="E8" i="11"/>
  <c r="E20" i="11"/>
  <c r="E31" i="11"/>
  <c r="C8" i="11"/>
  <c r="C31" i="11" s="1"/>
  <c r="C20" i="11"/>
  <c r="AC29" i="11"/>
  <c r="AD29" i="11"/>
  <c r="AC28" i="11"/>
  <c r="AD28" i="11" s="1"/>
  <c r="AC27" i="11"/>
  <c r="AD27" i="11" s="1"/>
  <c r="AC26" i="11"/>
  <c r="AD26" i="11"/>
  <c r="AC17" i="11"/>
  <c r="AD17" i="11"/>
  <c r="AC16" i="11"/>
  <c r="AC15" i="11"/>
  <c r="AD15" i="11" s="1"/>
  <c r="AC14" i="11"/>
  <c r="AD14" i="11"/>
  <c r="CD47" i="10"/>
  <c r="CD46" i="10" s="1"/>
  <c r="CD48" i="10"/>
  <c r="CD49" i="10"/>
  <c r="CG45" i="10"/>
  <c r="CG47" i="10"/>
  <c r="CG48" i="10"/>
  <c r="CJ47" i="10"/>
  <c r="CJ48" i="10"/>
  <c r="CJ49" i="10"/>
  <c r="CM47" i="10"/>
  <c r="CM48" i="10"/>
  <c r="CM49" i="10"/>
  <c r="CP47" i="10"/>
  <c r="CP48" i="10"/>
  <c r="CP49" i="10"/>
  <c r="CS47" i="10"/>
  <c r="CS49" i="10"/>
  <c r="CV48" i="10"/>
  <c r="CV49" i="10"/>
  <c r="CY47" i="10"/>
  <c r="CY48" i="10"/>
  <c r="CY49" i="10"/>
  <c r="DB47" i="10"/>
  <c r="DE47" i="10" s="1"/>
  <c r="DH47" i="10" s="1"/>
  <c r="DK47" i="10" s="1"/>
  <c r="DN47" i="10" s="1"/>
  <c r="DQ47" i="10" s="1"/>
  <c r="DT47" i="10" s="1"/>
  <c r="DW47" i="10" s="1"/>
  <c r="DZ47" i="10" s="1"/>
  <c r="EC47" i="10" s="1"/>
  <c r="EF47" i="10" s="1"/>
  <c r="DB48" i="10"/>
  <c r="DB49" i="10"/>
  <c r="DE48" i="10"/>
  <c r="DE49" i="10"/>
  <c r="DH48" i="10"/>
  <c r="DH49" i="10"/>
  <c r="DK48" i="10"/>
  <c r="DK49" i="10"/>
  <c r="DN48" i="10"/>
  <c r="DN49" i="10"/>
  <c r="DQ48" i="10"/>
  <c r="DQ49" i="10"/>
  <c r="DT48" i="10"/>
  <c r="DT49" i="10"/>
  <c r="DW48" i="10"/>
  <c r="DW49" i="10"/>
  <c r="DZ48" i="10"/>
  <c r="DZ49" i="10"/>
  <c r="EC48" i="10"/>
  <c r="EC49" i="10"/>
  <c r="EF48" i="10"/>
  <c r="EF49" i="10"/>
  <c r="CY52" i="10"/>
  <c r="BT52" i="10" s="1"/>
  <c r="DB52" i="10"/>
  <c r="DE52" i="10"/>
  <c r="DH52" i="10"/>
  <c r="DK52" i="10"/>
  <c r="DN52" i="10"/>
  <c r="BS107" i="10"/>
  <c r="BR107" i="10"/>
  <c r="R45" i="10"/>
  <c r="U45" i="10"/>
  <c r="X45" i="10" s="1"/>
  <c r="U47" i="10"/>
  <c r="X47" i="10"/>
  <c r="AA47" i="10" s="1"/>
  <c r="AD47" i="10" s="1"/>
  <c r="AG47" i="10"/>
  <c r="AJ47" i="10" s="1"/>
  <c r="AM47" i="10" s="1"/>
  <c r="AP47" i="10" s="1"/>
  <c r="AS47" i="10" s="1"/>
  <c r="AV47" i="10" s="1"/>
  <c r="AY47" i="10" s="1"/>
  <c r="BB47" i="10" s="1"/>
  <c r="BE47" i="10" s="1"/>
  <c r="BH47" i="10" s="1"/>
  <c r="BK47" i="10" s="1"/>
  <c r="BN47" i="10" s="1"/>
  <c r="BQ47" i="10" s="1"/>
  <c r="BQ48" i="10"/>
  <c r="BQ49" i="10"/>
  <c r="BP107" i="10"/>
  <c r="BO107" i="10"/>
  <c r="BN48" i="10"/>
  <c r="BN49" i="10"/>
  <c r="BM107" i="10"/>
  <c r="BL107" i="10"/>
  <c r="BK48" i="10"/>
  <c r="BK49" i="10"/>
  <c r="BJ107" i="10"/>
  <c r="BI107" i="10"/>
  <c r="BH48" i="10"/>
  <c r="BH49" i="10"/>
  <c r="BG107" i="10"/>
  <c r="BF107" i="10"/>
  <c r="BE48" i="10"/>
  <c r="BE49" i="10"/>
  <c r="BD107" i="10"/>
  <c r="BC107" i="10"/>
  <c r="BB48" i="10"/>
  <c r="BB49" i="10"/>
  <c r="BA107" i="10"/>
  <c r="AZ107" i="10"/>
  <c r="AY48" i="10"/>
  <c r="AY49" i="10"/>
  <c r="AX107" i="10"/>
  <c r="AW107" i="10"/>
  <c r="AV48" i="10"/>
  <c r="AV49" i="10"/>
  <c r="AU107" i="10"/>
  <c r="AT107" i="10"/>
  <c r="AS48" i="10"/>
  <c r="AS49" i="10"/>
  <c r="AS52" i="10"/>
  <c r="AR107" i="10"/>
  <c r="AQ107" i="10"/>
  <c r="AP48" i="10"/>
  <c r="AP49" i="10"/>
  <c r="AP52" i="10"/>
  <c r="AO107" i="10"/>
  <c r="AN107" i="10"/>
  <c r="AM48" i="10"/>
  <c r="AM49" i="10"/>
  <c r="AM52" i="10"/>
  <c r="AL107" i="10"/>
  <c r="AK107" i="10"/>
  <c r="AJ48" i="10"/>
  <c r="AJ49" i="10"/>
  <c r="AJ52" i="10"/>
  <c r="AI107" i="10"/>
  <c r="AH107" i="10"/>
  <c r="AG48" i="10"/>
  <c r="AG49" i="10"/>
  <c r="AF107" i="10"/>
  <c r="AE107" i="10"/>
  <c r="AC107" i="10"/>
  <c r="AB107" i="10"/>
  <c r="AA48" i="10"/>
  <c r="Z107" i="10"/>
  <c r="Y107" i="10"/>
  <c r="X48" i="10"/>
  <c r="X49" i="10"/>
  <c r="W107" i="10"/>
  <c r="V107" i="10"/>
  <c r="U46" i="10"/>
  <c r="U107" i="10" s="1"/>
  <c r="T107" i="10"/>
  <c r="S107" i="10"/>
  <c r="R48" i="10"/>
  <c r="R46" i="10" s="1"/>
  <c r="R107" i="10" s="1"/>
  <c r="R49" i="10"/>
  <c r="Q107" i="10"/>
  <c r="P107" i="10"/>
  <c r="O48" i="10"/>
  <c r="O46" i="10" s="1"/>
  <c r="O107" i="10" s="1"/>
  <c r="BM67" i="10"/>
  <c r="BM68" i="10" s="1"/>
  <c r="BM64" i="10" s="1"/>
  <c r="BS68" i="10"/>
  <c r="DY68" i="10"/>
  <c r="DY64" i="10"/>
  <c r="EA64" i="10"/>
  <c r="EB68" i="10"/>
  <c r="EE68" i="10"/>
  <c r="EH68" i="10"/>
  <c r="BL93" i="10"/>
  <c r="T68" i="10"/>
  <c r="W68" i="10" s="1"/>
  <c r="BG68" i="10"/>
  <c r="BJ68" i="10"/>
  <c r="DY93" i="10"/>
  <c r="DX93" i="10"/>
  <c r="CF68" i="10"/>
  <c r="CI68" i="10"/>
  <c r="CL68" i="10" s="1"/>
  <c r="CO68" i="10" s="1"/>
  <c r="DP68" i="10"/>
  <c r="AQ93" i="10"/>
  <c r="CN93" i="10"/>
  <c r="CE64" i="10"/>
  <c r="CF64" i="10" s="1"/>
  <c r="V93" i="10"/>
  <c r="T64" i="10"/>
  <c r="T93" i="10" s="1"/>
  <c r="S93" i="10"/>
  <c r="P64" i="10"/>
  <c r="AU63" i="10"/>
  <c r="AW63" i="10" s="1"/>
  <c r="DY63" i="10"/>
  <c r="EA63" i="10"/>
  <c r="EB63" i="10" s="1"/>
  <c r="ED63" i="10" s="1"/>
  <c r="EE63" i="10" s="1"/>
  <c r="EE92" i="10" s="1"/>
  <c r="DJ67" i="10"/>
  <c r="DJ63" i="10"/>
  <c r="DL63" i="10"/>
  <c r="DM63" i="10" s="1"/>
  <c r="DM67" i="10"/>
  <c r="DP67" i="10"/>
  <c r="AU92" i="10"/>
  <c r="DJ92" i="10"/>
  <c r="AU96" i="10"/>
  <c r="AS99" i="10" s="1"/>
  <c r="AT96" i="10"/>
  <c r="T67" i="10"/>
  <c r="W67" i="10"/>
  <c r="CE63" i="10"/>
  <c r="CF63" i="10" s="1"/>
  <c r="CF67" i="10"/>
  <c r="CI67" i="10"/>
  <c r="CR67" i="10"/>
  <c r="CU67" i="10"/>
  <c r="CX67" i="10"/>
  <c r="DA67" i="10"/>
  <c r="DD67" i="10"/>
  <c r="DG67" i="10"/>
  <c r="AQ96" i="10"/>
  <c r="Y92" i="10"/>
  <c r="Q63" i="10"/>
  <c r="S63" i="10" s="1"/>
  <c r="T63" i="10" s="1"/>
  <c r="T92" i="10" s="1"/>
  <c r="S92" i="10"/>
  <c r="Q92" i="10"/>
  <c r="P92" i="10"/>
  <c r="CE92" i="10"/>
  <c r="P96" i="10" s="1"/>
  <c r="Q60" i="10"/>
  <c r="T60" i="10"/>
  <c r="W60" i="10" s="1"/>
  <c r="Z60" i="10" s="1"/>
  <c r="AC60" i="10" s="1"/>
  <c r="AF60" i="10"/>
  <c r="AI60" i="10" s="1"/>
  <c r="AL60" i="10" s="1"/>
  <c r="AO60" i="10" s="1"/>
  <c r="AR60" i="10" s="1"/>
  <c r="Q61" i="10"/>
  <c r="T61" i="10"/>
  <c r="W61" i="10" s="1"/>
  <c r="EH59" i="10"/>
  <c r="EH91" i="10"/>
  <c r="P60" i="10"/>
  <c r="S60" i="10"/>
  <c r="V60" i="10" s="1"/>
  <c r="P61" i="10"/>
  <c r="S61" i="10" s="1"/>
  <c r="EG59" i="10"/>
  <c r="EG91" i="10" s="1"/>
  <c r="EE59" i="10"/>
  <c r="EE91" i="10"/>
  <c r="ED59" i="10"/>
  <c r="ED91" i="10"/>
  <c r="EB59" i="10"/>
  <c r="EB91" i="10"/>
  <c r="EA59" i="10"/>
  <c r="EA91" i="10"/>
  <c r="DY59" i="10"/>
  <c r="DY91" i="10" s="1"/>
  <c r="DX59" i="10"/>
  <c r="DX91" i="10" s="1"/>
  <c r="DV59" i="10"/>
  <c r="DU59" i="10"/>
  <c r="DU91" i="10" s="1"/>
  <c r="DS59" i="10"/>
  <c r="DR59" i="10"/>
  <c r="DR91" i="10"/>
  <c r="DP59" i="10"/>
  <c r="DO59" i="10"/>
  <c r="DM59" i="10"/>
  <c r="DM91" i="10"/>
  <c r="DL59" i="10"/>
  <c r="DL91" i="10"/>
  <c r="DJ59" i="10"/>
  <c r="DJ91" i="10" s="1"/>
  <c r="DI59" i="10"/>
  <c r="DI91" i="10"/>
  <c r="DG59" i="10"/>
  <c r="DG91" i="10" s="1"/>
  <c r="DF59" i="10"/>
  <c r="DD59" i="10"/>
  <c r="DC59" i="10"/>
  <c r="DC91" i="10" s="1"/>
  <c r="DA59" i="10"/>
  <c r="CZ59" i="10"/>
  <c r="CZ91" i="10"/>
  <c r="CX59" i="10"/>
  <c r="CX91" i="10" s="1"/>
  <c r="CW59" i="10"/>
  <c r="CW91" i="10" s="1"/>
  <c r="CU59" i="10"/>
  <c r="CU91" i="10" s="1"/>
  <c r="CT59" i="10"/>
  <c r="CT91" i="10" s="1"/>
  <c r="CR59" i="10"/>
  <c r="CR91" i="10"/>
  <c r="CQ59" i="10"/>
  <c r="CQ91" i="10"/>
  <c r="CO59" i="10"/>
  <c r="CO91" i="10" s="1"/>
  <c r="CN59" i="10"/>
  <c r="CN91" i="10" s="1"/>
  <c r="CL59" i="10"/>
  <c r="CK59" i="10"/>
  <c r="CK91" i="10"/>
  <c r="T58" i="10"/>
  <c r="T59" i="10"/>
  <c r="T91" i="10"/>
  <c r="CI59" i="10"/>
  <c r="CH59" i="10"/>
  <c r="CH91" i="10" s="1"/>
  <c r="Q59" i="10"/>
  <c r="CF58" i="10"/>
  <c r="CF91" i="10" s="1"/>
  <c r="CF59" i="10"/>
  <c r="P58" i="10"/>
  <c r="P91" i="10" s="1"/>
  <c r="P95" i="10" s="1"/>
  <c r="P59" i="10"/>
  <c r="CE58" i="10"/>
  <c r="CE59" i="10"/>
  <c r="CE91" i="10"/>
  <c r="L61" i="10"/>
  <c r="CD61" i="10"/>
  <c r="CG61" i="10" s="1"/>
  <c r="CJ61" i="10" s="1"/>
  <c r="CM61" i="10" s="1"/>
  <c r="CP61" i="10" s="1"/>
  <c r="CS61" i="10" s="1"/>
  <c r="CV61" i="10" s="1"/>
  <c r="CY61" i="10" s="1"/>
  <c r="DB61" i="10" s="1"/>
  <c r="DE61" i="10" s="1"/>
  <c r="DH61" i="10" s="1"/>
  <c r="DK61" i="10" s="1"/>
  <c r="DN61" i="10" s="1"/>
  <c r="DQ61" i="10" s="1"/>
  <c r="DT61" i="10" s="1"/>
  <c r="DW61" i="10" s="1"/>
  <c r="CD93" i="10"/>
  <c r="CA61" i="10"/>
  <c r="CA93" i="10" s="1"/>
  <c r="L60" i="10"/>
  <c r="O60" i="10"/>
  <c r="R60" i="10" s="1"/>
  <c r="CD60" i="10"/>
  <c r="CG60" i="10" s="1"/>
  <c r="CJ60" i="10" s="1"/>
  <c r="CM60" i="10" s="1"/>
  <c r="CP60" i="10" s="1"/>
  <c r="CS60" i="10" s="1"/>
  <c r="CV60" i="10" s="1"/>
  <c r="CY60" i="10"/>
  <c r="DB60" i="10" s="1"/>
  <c r="DE60" i="10" s="1"/>
  <c r="DH60" i="10" s="1"/>
  <c r="M92" i="10"/>
  <c r="N92" i="10"/>
  <c r="L92" i="10" s="1"/>
  <c r="L96" i="10" s="1"/>
  <c r="CB92" i="10"/>
  <c r="CA92" i="10" s="1"/>
  <c r="CC92" i="10"/>
  <c r="CA60" i="10"/>
  <c r="O15" i="10"/>
  <c r="R15" i="10" s="1"/>
  <c r="R70" i="10"/>
  <c r="R16" i="10" s="1"/>
  <c r="O16" i="10"/>
  <c r="O18" i="10"/>
  <c r="R18" i="10"/>
  <c r="O19" i="10"/>
  <c r="R19" i="10"/>
  <c r="O21" i="10"/>
  <c r="R21" i="10"/>
  <c r="O22" i="10"/>
  <c r="R22" i="10" s="1"/>
  <c r="U22" i="10" s="1"/>
  <c r="X22" i="10" s="1"/>
  <c r="AA22" i="10" s="1"/>
  <c r="AD22" i="10" s="1"/>
  <c r="AG22" i="10" s="1"/>
  <c r="AJ22" i="10" s="1"/>
  <c r="AM22" i="10" s="1"/>
  <c r="AP22" i="10" s="1"/>
  <c r="AS22" i="10" s="1"/>
  <c r="AV22" i="10" s="1"/>
  <c r="AY22" i="10" s="1"/>
  <c r="BB22" i="10" s="1"/>
  <c r="BE22" i="10" s="1"/>
  <c r="BH22" i="10" s="1"/>
  <c r="BK22" i="10" s="1"/>
  <c r="BN22" i="10" s="1"/>
  <c r="BQ22" i="10" s="1"/>
  <c r="R71" i="10"/>
  <c r="U71" i="10"/>
  <c r="X71" i="10" s="1"/>
  <c r="AA71" i="10" s="1"/>
  <c r="AD71" i="10" s="1"/>
  <c r="AG71" i="10"/>
  <c r="AJ71" i="10"/>
  <c r="AM71" i="10" s="1"/>
  <c r="AP71" i="10" s="1"/>
  <c r="AS71" i="10" s="1"/>
  <c r="AV71" i="10" s="1"/>
  <c r="AY71" i="10" s="1"/>
  <c r="BB71" i="10" s="1"/>
  <c r="BE71" i="10" s="1"/>
  <c r="BH71" i="10"/>
  <c r="BK71" i="10" s="1"/>
  <c r="BN71" i="10" s="1"/>
  <c r="BQ71" i="10" s="1"/>
  <c r="O25" i="10"/>
  <c r="R25" i="10" s="1"/>
  <c r="U25" i="10" s="1"/>
  <c r="R72" i="10"/>
  <c r="U72" i="10"/>
  <c r="X72" i="10" s="1"/>
  <c r="AA72" i="10" s="1"/>
  <c r="AD72" i="10" s="1"/>
  <c r="AG72" i="10" s="1"/>
  <c r="AJ72" i="10" s="1"/>
  <c r="AM72" i="10" s="1"/>
  <c r="AP72" i="10" s="1"/>
  <c r="AS72" i="10" s="1"/>
  <c r="AV72" i="10" s="1"/>
  <c r="AY72" i="10" s="1"/>
  <c r="BB72" i="10" s="1"/>
  <c r="BE72" i="10" s="1"/>
  <c r="BH72" i="10" s="1"/>
  <c r="BK72" i="10" s="1"/>
  <c r="BN72" i="10" s="1"/>
  <c r="BQ72" i="10" s="1"/>
  <c r="O26" i="10"/>
  <c r="R26" i="10"/>
  <c r="U26" i="10"/>
  <c r="X26" i="10"/>
  <c r="BQ51" i="10"/>
  <c r="O55" i="10"/>
  <c r="R55" i="10"/>
  <c r="O29" i="10"/>
  <c r="R29" i="10" s="1"/>
  <c r="O30" i="10"/>
  <c r="R30" i="10"/>
  <c r="O33" i="10"/>
  <c r="R33" i="10"/>
  <c r="O34" i="10"/>
  <c r="R34" i="10" s="1"/>
  <c r="O31" i="10"/>
  <c r="R31" i="10" s="1"/>
  <c r="L32" i="10"/>
  <c r="O32" i="10"/>
  <c r="R32" i="10"/>
  <c r="L35" i="10"/>
  <c r="O35" i="10"/>
  <c r="R35" i="10" s="1"/>
  <c r="O37" i="10"/>
  <c r="R37" i="10" s="1"/>
  <c r="O38" i="10"/>
  <c r="R38" i="10"/>
  <c r="R39" i="10"/>
  <c r="R41" i="10"/>
  <c r="O44" i="10"/>
  <c r="R44" i="10" s="1"/>
  <c r="CD70" i="10"/>
  <c r="CD15" i="10"/>
  <c r="CG70" i="10"/>
  <c r="CG15" i="10" s="1"/>
  <c r="CD16" i="10"/>
  <c r="CG16" i="10" s="1"/>
  <c r="CD18" i="10"/>
  <c r="CG18" i="10"/>
  <c r="CD19" i="10"/>
  <c r="CG19" i="10" s="1"/>
  <c r="CD21" i="10"/>
  <c r="CG21" i="10" s="1"/>
  <c r="CD71" i="10"/>
  <c r="CD72" i="10"/>
  <c r="CD25" i="10"/>
  <c r="CG72" i="10"/>
  <c r="CJ72" i="10" s="1"/>
  <c r="CM72" i="10" s="1"/>
  <c r="CP72" i="10" s="1"/>
  <c r="CS72" i="10" s="1"/>
  <c r="CV72" i="10" s="1"/>
  <c r="CY72" i="10" s="1"/>
  <c r="DB72" i="10" s="1"/>
  <c r="CG25" i="10"/>
  <c r="CJ25" i="10" s="1"/>
  <c r="CM25" i="10" s="1"/>
  <c r="CP25" i="10" s="1"/>
  <c r="CS25" i="10" s="1"/>
  <c r="CV25" i="10" s="1"/>
  <c r="DE72" i="10"/>
  <c r="DH72" i="10" s="1"/>
  <c r="DK72" i="10" s="1"/>
  <c r="DN72" i="10" s="1"/>
  <c r="DQ72" i="10" s="1"/>
  <c r="DT72" i="10" s="1"/>
  <c r="DW72" i="10" s="1"/>
  <c r="DZ72" i="10" s="1"/>
  <c r="EC72" i="10" s="1"/>
  <c r="EF72" i="10" s="1"/>
  <c r="EF51" i="10"/>
  <c r="CD55" i="10"/>
  <c r="CD29" i="10"/>
  <c r="CG29" i="10" s="1"/>
  <c r="CD30" i="10"/>
  <c r="CG30" i="10" s="1"/>
  <c r="CD33" i="10"/>
  <c r="CG33" i="10" s="1"/>
  <c r="CD34" i="10"/>
  <c r="CG34" i="10" s="1"/>
  <c r="CD31" i="10"/>
  <c r="CG31" i="10"/>
  <c r="CD32" i="10"/>
  <c r="CG32" i="10"/>
  <c r="CD35" i="10"/>
  <c r="CG35" i="10"/>
  <c r="CD37" i="10"/>
  <c r="CG37" i="10" s="1"/>
  <c r="CD38" i="10"/>
  <c r="CG38" i="10" s="1"/>
  <c r="CG39" i="10"/>
  <c r="CG41" i="10"/>
  <c r="CD44" i="10"/>
  <c r="CG44" i="10"/>
  <c r="BN51" i="10"/>
  <c r="EC51" i="10"/>
  <c r="BK51" i="10"/>
  <c r="DZ51" i="10"/>
  <c r="BH51" i="10"/>
  <c r="DW51" i="10"/>
  <c r="BE51" i="10"/>
  <c r="DT51" i="10"/>
  <c r="BB51" i="10"/>
  <c r="DQ51" i="10"/>
  <c r="AY51" i="10"/>
  <c r="DN51" i="10"/>
  <c r="AV51" i="10"/>
  <c r="DK51" i="10"/>
  <c r="AS51" i="10"/>
  <c r="DH51" i="10"/>
  <c r="DH59" i="10"/>
  <c r="AP51" i="10"/>
  <c r="DE51" i="10"/>
  <c r="DE59" i="10"/>
  <c r="AM51" i="10"/>
  <c r="DB51" i="10"/>
  <c r="DB59" i="10"/>
  <c r="AJ51" i="10"/>
  <c r="CY51" i="10"/>
  <c r="CY59" i="10"/>
  <c r="AG51" i="10"/>
  <c r="CV51" i="10"/>
  <c r="CV59" i="10"/>
  <c r="AD53" i="10"/>
  <c r="AD51" i="10"/>
  <c r="CS51" i="10"/>
  <c r="CS59" i="10"/>
  <c r="AA51" i="10"/>
  <c r="AA54" i="10"/>
  <c r="CP24" i="10"/>
  <c r="CP51" i="10"/>
  <c r="CP59" i="10"/>
  <c r="X51" i="10"/>
  <c r="CM24" i="10"/>
  <c r="CM51" i="10"/>
  <c r="CM59" i="10"/>
  <c r="U24" i="10"/>
  <c r="U51" i="10"/>
  <c r="CJ24" i="10"/>
  <c r="CJ51" i="10"/>
  <c r="CJ59" i="10"/>
  <c r="R14" i="10"/>
  <c r="R20" i="10"/>
  <c r="R13" i="10" s="1"/>
  <c r="R24" i="10"/>
  <c r="R36" i="10"/>
  <c r="R40" i="10"/>
  <c r="R42" i="10"/>
  <c r="R51" i="10"/>
  <c r="R50" i="10" s="1"/>
  <c r="CG14" i="10"/>
  <c r="CG20" i="10"/>
  <c r="CG13" i="10" s="1"/>
  <c r="CG24" i="10"/>
  <c r="CG27" i="10"/>
  <c r="CG23" i="10" s="1"/>
  <c r="CG36" i="10"/>
  <c r="CG40" i="10"/>
  <c r="CG42" i="10"/>
  <c r="CG51" i="10"/>
  <c r="CG59" i="10"/>
  <c r="O14" i="10"/>
  <c r="O13" i="10" s="1"/>
  <c r="O20" i="10"/>
  <c r="O24" i="10"/>
  <c r="O51" i="10"/>
  <c r="O50" i="10" s="1"/>
  <c r="O28" i="10" s="1"/>
  <c r="O27" i="10" s="1"/>
  <c r="O23" i="10" s="1"/>
  <c r="O36" i="10"/>
  <c r="O40" i="10"/>
  <c r="O42" i="10"/>
  <c r="CD14" i="10"/>
  <c r="CD20" i="10"/>
  <c r="CD13" i="10"/>
  <c r="CD24" i="10"/>
  <c r="CD51" i="10"/>
  <c r="CD50" i="10"/>
  <c r="CD28" i="10" s="1"/>
  <c r="CD27" i="10"/>
  <c r="CD23" i="10" s="1"/>
  <c r="CD36" i="10"/>
  <c r="CD40" i="10"/>
  <c r="CD42" i="10"/>
  <c r="CD59" i="10"/>
  <c r="L14" i="10"/>
  <c r="L13" i="10"/>
  <c r="L24" i="10"/>
  <c r="L27" i="10"/>
  <c r="L36" i="10"/>
  <c r="L40" i="10"/>
  <c r="L42" i="10"/>
  <c r="L51" i="10"/>
  <c r="L50" i="10" s="1"/>
  <c r="L59" i="10"/>
  <c r="CA14" i="10"/>
  <c r="CA13" i="10" s="1"/>
  <c r="CA24" i="10"/>
  <c r="CA51" i="10"/>
  <c r="CA50" i="10" s="1"/>
  <c r="CA28" i="10" s="1"/>
  <c r="CA27" i="10" s="1"/>
  <c r="CA23" i="10" s="1"/>
  <c r="CA36" i="10"/>
  <c r="CA40" i="10"/>
  <c r="CA42" i="10"/>
  <c r="CA59" i="10"/>
  <c r="CC93" i="10"/>
  <c r="CB93" i="10"/>
  <c r="N93" i="10"/>
  <c r="M93" i="10"/>
  <c r="CC59" i="10"/>
  <c r="CC91" i="10"/>
  <c r="CB59" i="10"/>
  <c r="CB91" i="10"/>
  <c r="N58" i="10"/>
  <c r="N91" i="10" s="1"/>
  <c r="N59" i="10"/>
  <c r="M58" i="10"/>
  <c r="M91" i="10" s="1"/>
  <c r="M59" i="10"/>
  <c r="BQ87" i="10"/>
  <c r="BQ86" i="10"/>
  <c r="BQ88" i="10" s="1"/>
  <c r="BN87" i="10"/>
  <c r="BN86" i="10"/>
  <c r="BN88" i="10"/>
  <c r="BK87" i="10"/>
  <c r="BK88" i="10" s="1"/>
  <c r="BK86" i="10"/>
  <c r="BH87" i="10"/>
  <c r="BH88" i="10" s="1"/>
  <c r="BH86" i="10"/>
  <c r="BE87" i="10"/>
  <c r="BE86" i="10"/>
  <c r="BE88" i="10" s="1"/>
  <c r="BB87" i="10"/>
  <c r="BB86" i="10"/>
  <c r="BB88" i="10"/>
  <c r="AY87" i="10"/>
  <c r="AY88" i="10" s="1"/>
  <c r="AY86" i="10"/>
  <c r="AV87" i="10"/>
  <c r="AV88" i="10" s="1"/>
  <c r="AV86" i="10"/>
  <c r="AS87" i="10"/>
  <c r="AS86" i="10"/>
  <c r="AS88" i="10" s="1"/>
  <c r="AP87" i="10"/>
  <c r="AP86" i="10"/>
  <c r="AP88" i="10"/>
  <c r="AM87" i="10"/>
  <c r="AM88" i="10" s="1"/>
  <c r="AM86" i="10"/>
  <c r="AJ87" i="10"/>
  <c r="AJ88" i="10" s="1"/>
  <c r="AJ86" i="10"/>
  <c r="AG87" i="10"/>
  <c r="AG86" i="10"/>
  <c r="AG88" i="10" s="1"/>
  <c r="AD87" i="10"/>
  <c r="AD86" i="10"/>
  <c r="AD88" i="10"/>
  <c r="AA87" i="10"/>
  <c r="AA86" i="10"/>
  <c r="AA88" i="10"/>
  <c r="X87" i="10"/>
  <c r="X88" i="10" s="1"/>
  <c r="X86" i="10"/>
  <c r="U87" i="10"/>
  <c r="U88" i="10" s="1"/>
  <c r="U86" i="10"/>
  <c r="R87" i="10"/>
  <c r="R86" i="10"/>
  <c r="R88" i="10"/>
  <c r="O87" i="10"/>
  <c r="O88" i="10" s="1"/>
  <c r="O86" i="10"/>
  <c r="L87" i="10"/>
  <c r="L88" i="10" s="1"/>
  <c r="L86" i="10"/>
  <c r="I87" i="10"/>
  <c r="I86" i="10"/>
  <c r="I88" i="10" s="1"/>
  <c r="H87" i="10"/>
  <c r="H86" i="10"/>
  <c r="H88" i="10"/>
  <c r="G87" i="10"/>
  <c r="G86" i="10"/>
  <c r="G88" i="10"/>
  <c r="F87" i="10"/>
  <c r="F88" i="10" s="1"/>
  <c r="F86" i="10"/>
  <c r="EF74" i="10"/>
  <c r="EC74" i="10"/>
  <c r="DW74" i="10"/>
  <c r="DK74" i="10"/>
  <c r="DH74" i="10"/>
  <c r="CV74" i="10"/>
  <c r="CS74" i="10"/>
  <c r="CM74" i="10"/>
  <c r="CD74" i="10"/>
  <c r="DZ74" i="10"/>
  <c r="DT74" i="10"/>
  <c r="CP74" i="10"/>
  <c r="L74" i="10"/>
  <c r="CA74" i="10"/>
  <c r="I14" i="10"/>
  <c r="I13" i="10" s="1"/>
  <c r="I24" i="10"/>
  <c r="I27" i="10"/>
  <c r="I23" i="10" s="1"/>
  <c r="I36" i="10"/>
  <c r="I40" i="10"/>
  <c r="I42" i="10"/>
  <c r="I51" i="10"/>
  <c r="I50" i="10" s="1"/>
  <c r="I49" i="10"/>
  <c r="I54" i="10"/>
  <c r="BZ58" i="10"/>
  <c r="BX74" i="10" s="1"/>
  <c r="BX14" i="10"/>
  <c r="BX13" i="10"/>
  <c r="BX24" i="10"/>
  <c r="BX27" i="10"/>
  <c r="BX23" i="10" s="1"/>
  <c r="BX36" i="10"/>
  <c r="BX40" i="10"/>
  <c r="BX42" i="10"/>
  <c r="BX51" i="10"/>
  <c r="BX50" i="10" s="1"/>
  <c r="H14" i="10"/>
  <c r="H13" i="10" s="1"/>
  <c r="H12" i="10" s="1"/>
  <c r="H24" i="10"/>
  <c r="H27" i="10"/>
  <c r="H23" i="10" s="1"/>
  <c r="H36" i="10"/>
  <c r="H40" i="10"/>
  <c r="H42" i="10"/>
  <c r="H51" i="10"/>
  <c r="H50" i="10"/>
  <c r="H58" i="10"/>
  <c r="H74" i="10" s="1"/>
  <c r="H75" i="10" s="1"/>
  <c r="BW14" i="10"/>
  <c r="BW13" i="10"/>
  <c r="BW24" i="10"/>
  <c r="BW27" i="10"/>
  <c r="BW23" i="10" s="1"/>
  <c r="BW36" i="10"/>
  <c r="BW40" i="10"/>
  <c r="BW42" i="10"/>
  <c r="BW51" i="10"/>
  <c r="BW50" i="10" s="1"/>
  <c r="G14" i="10"/>
  <c r="G13" i="10" s="1"/>
  <c r="G24" i="10"/>
  <c r="G27" i="10"/>
  <c r="G36" i="10"/>
  <c r="G40" i="10"/>
  <c r="G42" i="10"/>
  <c r="G51" i="10"/>
  <c r="G55" i="10"/>
  <c r="G50" i="10" s="1"/>
  <c r="BV14" i="10"/>
  <c r="BV13" i="10"/>
  <c r="BV24" i="10"/>
  <c r="BV27" i="10"/>
  <c r="BV36" i="10"/>
  <c r="BV40" i="10"/>
  <c r="BV42" i="10"/>
  <c r="BV23" i="10"/>
  <c r="BV45" i="10"/>
  <c r="BV51" i="10"/>
  <c r="BV50" i="10"/>
  <c r="F14" i="10"/>
  <c r="F13" i="10"/>
  <c r="F12" i="10" s="1"/>
  <c r="F24" i="10"/>
  <c r="F27" i="10"/>
  <c r="F36" i="10"/>
  <c r="F40" i="10"/>
  <c r="F42" i="10"/>
  <c r="F23" i="10"/>
  <c r="F51" i="10"/>
  <c r="F50" i="10" s="1"/>
  <c r="F11" i="10" s="1"/>
  <c r="BU14" i="10"/>
  <c r="BU13" i="10"/>
  <c r="BU24" i="10"/>
  <c r="BU27" i="10"/>
  <c r="BU23" i="10" s="1"/>
  <c r="BU36" i="10"/>
  <c r="BU40" i="10"/>
  <c r="BU42" i="10"/>
  <c r="BU51" i="10"/>
  <c r="EF81" i="10"/>
  <c r="EC81" i="10"/>
  <c r="DZ81" i="10"/>
  <c r="DW81" i="10"/>
  <c r="DT81" i="10"/>
  <c r="DQ81" i="10"/>
  <c r="DN81" i="10"/>
  <c r="DK81" i="10"/>
  <c r="DH81" i="10"/>
  <c r="DE81" i="10"/>
  <c r="DB81" i="10"/>
  <c r="CY81" i="10"/>
  <c r="CV81" i="10"/>
  <c r="CS81" i="10"/>
  <c r="CP81" i="10"/>
  <c r="CM81" i="10"/>
  <c r="CJ81" i="10"/>
  <c r="CG81" i="10"/>
  <c r="CD81" i="10"/>
  <c r="CA81" i="10"/>
  <c r="BX81" i="10"/>
  <c r="BW81" i="10"/>
  <c r="BV81" i="10"/>
  <c r="BU81" i="10"/>
  <c r="BT81" i="10"/>
  <c r="BQ81" i="10"/>
  <c r="BN81" i="10"/>
  <c r="BK81" i="10"/>
  <c r="BH81" i="10"/>
  <c r="BE81" i="10"/>
  <c r="BB81" i="10"/>
  <c r="AY81" i="10"/>
  <c r="AV81" i="10"/>
  <c r="AS81" i="10"/>
  <c r="AP81" i="10"/>
  <c r="AM81" i="10"/>
  <c r="AJ81" i="10"/>
  <c r="AG81" i="10"/>
  <c r="AD81" i="10"/>
  <c r="AA81" i="10"/>
  <c r="X81" i="10"/>
  <c r="U81" i="10"/>
  <c r="R81" i="10"/>
  <c r="O81" i="10"/>
  <c r="L81" i="10"/>
  <c r="I81" i="10"/>
  <c r="H81" i="10"/>
  <c r="G81" i="10"/>
  <c r="F81" i="10"/>
  <c r="E81" i="10"/>
  <c r="D81" i="10"/>
  <c r="E52" i="10"/>
  <c r="D52" i="10" s="1"/>
  <c r="CD80" i="10"/>
  <c r="CA80" i="10"/>
  <c r="BX80" i="10"/>
  <c r="BW80" i="10"/>
  <c r="BV80" i="10"/>
  <c r="BU80" i="10"/>
  <c r="U80" i="10"/>
  <c r="R80" i="10"/>
  <c r="O80" i="10"/>
  <c r="L80" i="10"/>
  <c r="I80" i="10"/>
  <c r="H80" i="10"/>
  <c r="G80" i="10"/>
  <c r="F80" i="10"/>
  <c r="EF79" i="10"/>
  <c r="EC79" i="10"/>
  <c r="DZ79" i="10"/>
  <c r="DW79" i="10"/>
  <c r="DT79" i="10"/>
  <c r="DQ79" i="10"/>
  <c r="DN79" i="10"/>
  <c r="DK79" i="10"/>
  <c r="DH79" i="10"/>
  <c r="DE79" i="10"/>
  <c r="DB79" i="10"/>
  <c r="CY79" i="10"/>
  <c r="CV79" i="10"/>
  <c r="CS79" i="10"/>
  <c r="CP79" i="10"/>
  <c r="CM79" i="10"/>
  <c r="CJ79" i="10"/>
  <c r="CG79" i="10"/>
  <c r="CD79" i="10"/>
  <c r="CA79" i="10"/>
  <c r="BX79" i="10"/>
  <c r="BW79" i="10"/>
  <c r="BV79" i="10"/>
  <c r="BU79" i="10"/>
  <c r="BT79" i="10"/>
  <c r="BQ79" i="10"/>
  <c r="BN79" i="10"/>
  <c r="BK79" i="10"/>
  <c r="BH79" i="10"/>
  <c r="BE79" i="10"/>
  <c r="BB79" i="10"/>
  <c r="AY79" i="10"/>
  <c r="AV79" i="10"/>
  <c r="AS79" i="10"/>
  <c r="AP79" i="10"/>
  <c r="AM79" i="10"/>
  <c r="AJ79" i="10"/>
  <c r="AG79" i="10"/>
  <c r="AD79" i="10"/>
  <c r="AA79" i="10"/>
  <c r="X79" i="10"/>
  <c r="U79" i="10"/>
  <c r="R79" i="10"/>
  <c r="O79" i="10"/>
  <c r="L79" i="10"/>
  <c r="I79" i="10"/>
  <c r="H79" i="10"/>
  <c r="G79" i="10"/>
  <c r="F79" i="10"/>
  <c r="E79" i="10"/>
  <c r="D79" i="10"/>
  <c r="BT48" i="10"/>
  <c r="E48" i="10"/>
  <c r="D48" i="10" s="1"/>
  <c r="E53" i="10"/>
  <c r="BT53" i="10"/>
  <c r="EI53" i="10"/>
  <c r="CD78" i="10"/>
  <c r="CA78" i="10"/>
  <c r="BX78" i="10"/>
  <c r="BW78" i="10"/>
  <c r="BV78" i="10"/>
  <c r="BU78" i="10"/>
  <c r="U78" i="10"/>
  <c r="R78" i="10"/>
  <c r="O78" i="10"/>
  <c r="L78" i="10"/>
  <c r="I78" i="10"/>
  <c r="H78" i="10"/>
  <c r="G78" i="10"/>
  <c r="F78" i="10"/>
  <c r="D53" i="10"/>
  <c r="EH62" i="10"/>
  <c r="EG62" i="10"/>
  <c r="EH66" i="10"/>
  <c r="EE62" i="10"/>
  <c r="ED62" i="10"/>
  <c r="EE66" i="10" s="1"/>
  <c r="EB62" i="10"/>
  <c r="EB66" i="10" s="1"/>
  <c r="EA62" i="10"/>
  <c r="DY62" i="10"/>
  <c r="DY66" i="10" s="1"/>
  <c r="DX62" i="10"/>
  <c r="DU62" i="10"/>
  <c r="DR62" i="10"/>
  <c r="DM62" i="10"/>
  <c r="DM66" i="10" s="1"/>
  <c r="DL62" i="10"/>
  <c r="DJ62" i="10"/>
  <c r="DI62" i="10"/>
  <c r="DJ66" i="10"/>
  <c r="DG62" i="10"/>
  <c r="DC62" i="10"/>
  <c r="CZ62" i="10"/>
  <c r="CX62" i="10"/>
  <c r="CW62" i="10"/>
  <c r="CX66" i="10" s="1"/>
  <c r="CU62" i="10"/>
  <c r="CU66" i="10" s="1"/>
  <c r="CT62" i="10"/>
  <c r="CR62" i="10"/>
  <c r="CR66" i="10" s="1"/>
  <c r="CQ62" i="10"/>
  <c r="CO62" i="10"/>
  <c r="CN62" i="10"/>
  <c r="CO66" i="10"/>
  <c r="CK62" i="10"/>
  <c r="CH62" i="10"/>
  <c r="CF62" i="10"/>
  <c r="CF66" i="10" s="1"/>
  <c r="CE62" i="10"/>
  <c r="T62" i="10"/>
  <c r="P62" i="10"/>
  <c r="CD64" i="10"/>
  <c r="CA64" i="10"/>
  <c r="BX64" i="10"/>
  <c r="L64" i="10"/>
  <c r="I64" i="10"/>
  <c r="CD63" i="10"/>
  <c r="CA63" i="10"/>
  <c r="BX63" i="10"/>
  <c r="BV63" i="10"/>
  <c r="BU63" i="10"/>
  <c r="O63" i="10"/>
  <c r="L63" i="10"/>
  <c r="I63" i="10"/>
  <c r="H63" i="10"/>
  <c r="G63" i="10"/>
  <c r="F63" i="10"/>
  <c r="CC62" i="10"/>
  <c r="CB62" i="10"/>
  <c r="BZ59" i="10"/>
  <c r="BZ62" i="10" s="1"/>
  <c r="BY59" i="10"/>
  <c r="BY62" i="10" s="1"/>
  <c r="BX59" i="10"/>
  <c r="BW59" i="10"/>
  <c r="BV59" i="10"/>
  <c r="BU59" i="10"/>
  <c r="N62" i="10"/>
  <c r="M62" i="10"/>
  <c r="K58" i="10"/>
  <c r="K62" i="10" s="1"/>
  <c r="K59" i="10"/>
  <c r="J58" i="10"/>
  <c r="J62" i="10" s="1"/>
  <c r="J59" i="10"/>
  <c r="I59" i="10"/>
  <c r="H59" i="10"/>
  <c r="H62" i="10" s="1"/>
  <c r="G59" i="10"/>
  <c r="F59" i="10"/>
  <c r="BT43" i="10"/>
  <c r="BT54" i="10"/>
  <c r="BT57" i="10"/>
  <c r="E22" i="10"/>
  <c r="E43" i="10"/>
  <c r="E51" i="10"/>
  <c r="E54" i="10"/>
  <c r="EI54" i="10" s="1"/>
  <c r="E57" i="10"/>
  <c r="BT26" i="10"/>
  <c r="D57" i="10"/>
  <c r="BT49" i="10"/>
  <c r="EI49" i="10" s="1"/>
  <c r="E49" i="10"/>
  <c r="D49" i="10" s="1"/>
  <c r="BU47" i="10"/>
  <c r="BT47" i="10" s="1"/>
  <c r="EI47" i="10" s="1"/>
  <c r="CA47" i="10"/>
  <c r="L47" i="10"/>
  <c r="E47" i="10"/>
  <c r="D47" i="10" s="1"/>
  <c r="EL22" i="10"/>
  <c r="EL21" i="10"/>
  <c r="EL20" i="10"/>
  <c r="CD17" i="10"/>
  <c r="R17" i="10"/>
  <c r="H11" i="10"/>
  <c r="B10" i="10"/>
  <c r="C10" i="10" s="1"/>
  <c r="F10" i="10" s="1"/>
  <c r="G10" i="10" s="1"/>
  <c r="H10" i="10" s="1"/>
  <c r="I10" i="10" s="1"/>
  <c r="L10" i="10" s="1"/>
  <c r="O10" i="10" s="1"/>
  <c r="R10" i="10" s="1"/>
  <c r="U10" i="10" s="1"/>
  <c r="X10" i="10" s="1"/>
  <c r="AA10" i="10" s="1"/>
  <c r="AD10" i="10" s="1"/>
  <c r="AG10" i="10" s="1"/>
  <c r="AJ10" i="10" s="1"/>
  <c r="AM10" i="10" s="1"/>
  <c r="AP10" i="10" s="1"/>
  <c r="AS10" i="10" s="1"/>
  <c r="AV10" i="10" s="1"/>
  <c r="AY10" i="10" s="1"/>
  <c r="BB10" i="10" s="1"/>
  <c r="BE10" i="10" s="1"/>
  <c r="J17" i="9"/>
  <c r="J11" i="9"/>
  <c r="J9" i="9"/>
  <c r="E13" i="7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19" i="6"/>
  <c r="K42" i="6" s="1"/>
  <c r="K31" i="6"/>
  <c r="J42" i="6"/>
  <c r="I42" i="6"/>
  <c r="H19" i="6"/>
  <c r="H42" i="6" s="1"/>
  <c r="H31" i="6"/>
  <c r="G42" i="6"/>
  <c r="F42" i="6"/>
  <c r="D19" i="6"/>
  <c r="C19" i="6"/>
  <c r="C42" i="6" s="1"/>
  <c r="E19" i="6"/>
  <c r="D31" i="6"/>
  <c r="E31" i="6" s="1"/>
  <c r="C31" i="6"/>
  <c r="E42" i="6"/>
  <c r="D42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18" i="6"/>
  <c r="K41" i="6" s="1"/>
  <c r="K30" i="6"/>
  <c r="J41" i="6"/>
  <c r="I41" i="6"/>
  <c r="H18" i="6"/>
  <c r="H30" i="6"/>
  <c r="H41" i="6"/>
  <c r="G41" i="6"/>
  <c r="F41" i="6"/>
  <c r="D18" i="6"/>
  <c r="C18" i="6"/>
  <c r="D30" i="6"/>
  <c r="C30" i="6"/>
  <c r="E30" i="6"/>
  <c r="D41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17" i="6"/>
  <c r="K29" i="6"/>
  <c r="K40" i="6"/>
  <c r="J40" i="6"/>
  <c r="I40" i="6"/>
  <c r="H17" i="6"/>
  <c r="H29" i="6"/>
  <c r="G40" i="6"/>
  <c r="F40" i="6"/>
  <c r="D17" i="6"/>
  <c r="D40" i="6" s="1"/>
  <c r="C17" i="6"/>
  <c r="D29" i="6"/>
  <c r="C2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16" i="6"/>
  <c r="K28" i="6"/>
  <c r="J39" i="6"/>
  <c r="I39" i="6"/>
  <c r="H16" i="6"/>
  <c r="H39" i="6" s="1"/>
  <c r="H28" i="6"/>
  <c r="G39" i="6"/>
  <c r="F39" i="6"/>
  <c r="D16" i="6"/>
  <c r="C16" i="6"/>
  <c r="E16" i="6"/>
  <c r="E39" i="6" s="1"/>
  <c r="D28" i="6"/>
  <c r="E28" i="6" s="1"/>
  <c r="C28" i="6"/>
  <c r="C39" i="6" s="1"/>
  <c r="D39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15" i="6"/>
  <c r="K14" i="6" s="1"/>
  <c r="K27" i="6"/>
  <c r="J38" i="6"/>
  <c r="I38" i="6"/>
  <c r="H15" i="6"/>
  <c r="H27" i="6"/>
  <c r="H38" i="6"/>
  <c r="G38" i="6"/>
  <c r="F38" i="6"/>
  <c r="D15" i="6"/>
  <c r="C15" i="6"/>
  <c r="E15" i="6"/>
  <c r="D27" i="6"/>
  <c r="C27" i="6"/>
  <c r="E27" i="6"/>
  <c r="D38" i="6"/>
  <c r="C38" i="6"/>
  <c r="AC14" i="6"/>
  <c r="AC26" i="6"/>
  <c r="AB14" i="6"/>
  <c r="AB26" i="6"/>
  <c r="AB37" i="6"/>
  <c r="AA14" i="6"/>
  <c r="AA37" i="6" s="1"/>
  <c r="AA26" i="6"/>
  <c r="Z14" i="6"/>
  <c r="Z26" i="6"/>
  <c r="Y14" i="6"/>
  <c r="Y37" i="6" s="1"/>
  <c r="Y26" i="6"/>
  <c r="X14" i="6"/>
  <c r="X26" i="6"/>
  <c r="X37" i="6"/>
  <c r="W14" i="6"/>
  <c r="W26" i="6"/>
  <c r="W37" i="6"/>
  <c r="V14" i="6"/>
  <c r="V37" i="6" s="1"/>
  <c r="V26" i="6"/>
  <c r="U14" i="6"/>
  <c r="U26" i="6"/>
  <c r="U37" i="6" s="1"/>
  <c r="T14" i="6"/>
  <c r="T26" i="6"/>
  <c r="T37" i="6"/>
  <c r="S14" i="6"/>
  <c r="S37" i="6" s="1"/>
  <c r="S26" i="6"/>
  <c r="R14" i="6"/>
  <c r="R37" i="6" s="1"/>
  <c r="R26" i="6"/>
  <c r="Q14" i="6"/>
  <c r="Q37" i="6" s="1"/>
  <c r="Q26" i="6"/>
  <c r="P14" i="6"/>
  <c r="P26" i="6"/>
  <c r="P37" i="6"/>
  <c r="O14" i="6"/>
  <c r="O26" i="6"/>
  <c r="O37" i="6"/>
  <c r="N14" i="6"/>
  <c r="N37" i="6" s="1"/>
  <c r="N26" i="6"/>
  <c r="M14" i="6"/>
  <c r="M26" i="6"/>
  <c r="M37" i="6" s="1"/>
  <c r="L14" i="6"/>
  <c r="L26" i="6"/>
  <c r="L37" i="6"/>
  <c r="J14" i="6"/>
  <c r="J37" i="6" s="1"/>
  <c r="J26" i="6"/>
  <c r="I14" i="6"/>
  <c r="I26" i="6"/>
  <c r="H14" i="6"/>
  <c r="G14" i="6"/>
  <c r="G26" i="6"/>
  <c r="G37" i="6"/>
  <c r="F14" i="6"/>
  <c r="F37" i="6" s="1"/>
  <c r="F26" i="6"/>
  <c r="D14" i="6"/>
  <c r="D26" i="6"/>
  <c r="AC13" i="6"/>
  <c r="AB13" i="6"/>
  <c r="AB36" i="6" s="1"/>
  <c r="AB25" i="6"/>
  <c r="AA13" i="6"/>
  <c r="AA25" i="6"/>
  <c r="AA36" i="6"/>
  <c r="Z25" i="6"/>
  <c r="Y13" i="6"/>
  <c r="Y36" i="6" s="1"/>
  <c r="Y25" i="6"/>
  <c r="X13" i="6"/>
  <c r="X25" i="6"/>
  <c r="X36" i="6" s="1"/>
  <c r="W13" i="6"/>
  <c r="W25" i="6"/>
  <c r="W36" i="6"/>
  <c r="V25" i="6"/>
  <c r="U13" i="6"/>
  <c r="U36" i="6" s="1"/>
  <c r="U25" i="6"/>
  <c r="T13" i="6"/>
  <c r="T25" i="6"/>
  <c r="T36" i="6"/>
  <c r="S13" i="6"/>
  <c r="S25" i="6"/>
  <c r="S36" i="6"/>
  <c r="R13" i="6"/>
  <c r="R36" i="6" s="1"/>
  <c r="R25" i="6"/>
  <c r="Q13" i="6"/>
  <c r="Q36" i="6" s="1"/>
  <c r="Q25" i="6"/>
  <c r="P13" i="6"/>
  <c r="P25" i="6"/>
  <c r="P36" i="6" s="1"/>
  <c r="O13" i="6"/>
  <c r="O25" i="6"/>
  <c r="O36" i="6"/>
  <c r="N13" i="6"/>
  <c r="N36" i="6" s="1"/>
  <c r="N25" i="6"/>
  <c r="M13" i="6"/>
  <c r="M25" i="6"/>
  <c r="L13" i="6"/>
  <c r="L25" i="6"/>
  <c r="L36" i="6"/>
  <c r="J13" i="6"/>
  <c r="J36" i="6" s="1"/>
  <c r="J25" i="6"/>
  <c r="I13" i="6"/>
  <c r="I36" i="6" s="1"/>
  <c r="I25" i="6"/>
  <c r="H13" i="6"/>
  <c r="G13" i="6"/>
  <c r="G25" i="6"/>
  <c r="G36" i="6"/>
  <c r="F13" i="6"/>
  <c r="F36" i="6" s="1"/>
  <c r="F25" i="6"/>
  <c r="D13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12" i="6"/>
  <c r="H24" i="6"/>
  <c r="H35" i="6"/>
  <c r="G35" i="6"/>
  <c r="F35" i="6"/>
  <c r="D12" i="6"/>
  <c r="C12" i="6"/>
  <c r="C35" i="6" s="1"/>
  <c r="E12" i="6"/>
  <c r="D24" i="6"/>
  <c r="C24" i="6"/>
  <c r="E24" i="6"/>
  <c r="E35" i="6"/>
  <c r="D35" i="6"/>
  <c r="AC11" i="6"/>
  <c r="AC34" i="6" s="1"/>
  <c r="AC23" i="6"/>
  <c r="AB11" i="6"/>
  <c r="AB23" i="6"/>
  <c r="AB34" i="6"/>
  <c r="AA11" i="6"/>
  <c r="AA23" i="6"/>
  <c r="AA34" i="6"/>
  <c r="Z11" i="6"/>
  <c r="Z34" i="6" s="1"/>
  <c r="Z23" i="6"/>
  <c r="Y11" i="6"/>
  <c r="Y23" i="6"/>
  <c r="X11" i="6"/>
  <c r="X23" i="6"/>
  <c r="X34" i="6"/>
  <c r="W11" i="6"/>
  <c r="W23" i="6"/>
  <c r="W34" i="6"/>
  <c r="V11" i="6"/>
  <c r="V34" i="6" s="1"/>
  <c r="V23" i="6"/>
  <c r="U11" i="6"/>
  <c r="U34" i="6" s="1"/>
  <c r="U23" i="6"/>
  <c r="T11" i="6"/>
  <c r="T23" i="6"/>
  <c r="T34" i="6"/>
  <c r="S11" i="6"/>
  <c r="S23" i="6"/>
  <c r="S34" i="6"/>
  <c r="R11" i="6"/>
  <c r="R34" i="6" s="1"/>
  <c r="R23" i="6"/>
  <c r="Q11" i="6"/>
  <c r="Q34" i="6" s="1"/>
  <c r="Q23" i="6"/>
  <c r="P11" i="6"/>
  <c r="P23" i="6"/>
  <c r="P34" i="6"/>
  <c r="O11" i="6"/>
  <c r="O23" i="6"/>
  <c r="O34" i="6"/>
  <c r="N11" i="6"/>
  <c r="N34" i="6" s="1"/>
  <c r="N23" i="6"/>
  <c r="M11" i="6"/>
  <c r="M34" i="6" s="1"/>
  <c r="M23" i="6"/>
  <c r="L11" i="6"/>
  <c r="L23" i="6"/>
  <c r="L34" i="6"/>
  <c r="K11" i="6"/>
  <c r="K23" i="6"/>
  <c r="K34" i="6"/>
  <c r="J11" i="6"/>
  <c r="J34" i="6" s="1"/>
  <c r="J23" i="6"/>
  <c r="I11" i="6"/>
  <c r="I23" i="6"/>
  <c r="H11" i="6"/>
  <c r="H23" i="6"/>
  <c r="H34" i="6"/>
  <c r="G11" i="6"/>
  <c r="G23" i="6"/>
  <c r="G34" i="6"/>
  <c r="F11" i="6"/>
  <c r="F23" i="6"/>
  <c r="D11" i="6"/>
  <c r="D23" i="6"/>
  <c r="D34" i="6"/>
  <c r="C23" i="6"/>
  <c r="AC10" i="6"/>
  <c r="AC9" i="6" s="1"/>
  <c r="AC22" i="6"/>
  <c r="AB10" i="6"/>
  <c r="AB22" i="6"/>
  <c r="AB21" i="6" s="1"/>
  <c r="AA10" i="6"/>
  <c r="AA22" i="6"/>
  <c r="AA33" i="6"/>
  <c r="Z10" i="6"/>
  <c r="Z22" i="6"/>
  <c r="Z33" i="6"/>
  <c r="Y10" i="6"/>
  <c r="Y22" i="6"/>
  <c r="Y21" i="6" s="1"/>
  <c r="X10" i="6"/>
  <c r="X33" i="6" s="1"/>
  <c r="X22" i="6"/>
  <c r="X21" i="6" s="1"/>
  <c r="W10" i="6"/>
  <c r="W22" i="6"/>
  <c r="W33" i="6"/>
  <c r="V10" i="6"/>
  <c r="V9" i="6" s="1"/>
  <c r="V32" i="6" s="1"/>
  <c r="V22" i="6"/>
  <c r="V33" i="6"/>
  <c r="U10" i="6"/>
  <c r="U9" i="6" s="1"/>
  <c r="U22" i="6"/>
  <c r="T10" i="6"/>
  <c r="T33" i="6" s="1"/>
  <c r="T22" i="6"/>
  <c r="T21" i="6" s="1"/>
  <c r="S10" i="6"/>
  <c r="S22" i="6"/>
  <c r="S33" i="6"/>
  <c r="R10" i="6"/>
  <c r="R22" i="6"/>
  <c r="R33" i="6"/>
  <c r="Q10" i="6"/>
  <c r="Q22" i="6"/>
  <c r="Q21" i="6" s="1"/>
  <c r="P10" i="6"/>
  <c r="P33" i="6" s="1"/>
  <c r="P22" i="6"/>
  <c r="P21" i="6" s="1"/>
  <c r="O10" i="6"/>
  <c r="O22" i="6"/>
  <c r="O33" i="6"/>
  <c r="N10" i="6"/>
  <c r="N22" i="6"/>
  <c r="N33" i="6"/>
  <c r="M10" i="6"/>
  <c r="M9" i="6" s="1"/>
  <c r="M22" i="6"/>
  <c r="L10" i="6"/>
  <c r="L22" i="6"/>
  <c r="L21" i="6" s="1"/>
  <c r="K10" i="6"/>
  <c r="J10" i="6"/>
  <c r="J22" i="6"/>
  <c r="J33" i="6"/>
  <c r="I10" i="6"/>
  <c r="I22" i="6"/>
  <c r="I21" i="6" s="1"/>
  <c r="H10" i="6"/>
  <c r="H33" i="6" s="1"/>
  <c r="H22" i="6"/>
  <c r="H21" i="6" s="1"/>
  <c r="G10" i="6"/>
  <c r="G22" i="6"/>
  <c r="G33" i="6"/>
  <c r="F10" i="6"/>
  <c r="F22" i="6"/>
  <c r="F33" i="6"/>
  <c r="E10" i="6"/>
  <c r="E22" i="6"/>
  <c r="D10" i="6"/>
  <c r="D33" i="6" s="1"/>
  <c r="D22" i="6"/>
  <c r="D21" i="6" s="1"/>
  <c r="C22" i="6"/>
  <c r="AC21" i="6"/>
  <c r="AC32" i="6"/>
  <c r="AB9" i="6"/>
  <c r="AB32" i="6" s="1"/>
  <c r="AA9" i="6"/>
  <c r="AA32" i="6" s="1"/>
  <c r="AA21" i="6"/>
  <c r="Z9" i="6"/>
  <c r="Z21" i="6"/>
  <c r="Z32" i="6"/>
  <c r="X9" i="6"/>
  <c r="X32" i="6" s="1"/>
  <c r="W9" i="6"/>
  <c r="W21" i="6"/>
  <c r="V21" i="6"/>
  <c r="U21" i="6"/>
  <c r="U32" i="6"/>
  <c r="S9" i="6"/>
  <c r="S32" i="6" s="1"/>
  <c r="S21" i="6"/>
  <c r="R9" i="6"/>
  <c r="R21" i="6"/>
  <c r="R32" i="6" s="1"/>
  <c r="P9" i="6"/>
  <c r="P32" i="6" s="1"/>
  <c r="O9" i="6"/>
  <c r="O32" i="6" s="1"/>
  <c r="O21" i="6"/>
  <c r="N21" i="6"/>
  <c r="M21" i="6"/>
  <c r="M32" i="6"/>
  <c r="L9" i="6"/>
  <c r="L32" i="6" s="1"/>
  <c r="K9" i="6"/>
  <c r="J9" i="6"/>
  <c r="J21" i="6"/>
  <c r="J32" i="6" s="1"/>
  <c r="H9" i="6"/>
  <c r="H32" i="6" s="1"/>
  <c r="G9" i="6"/>
  <c r="G21" i="6"/>
  <c r="F21" i="6"/>
  <c r="D9" i="6"/>
  <c r="D32" i="6" s="1"/>
  <c r="C21" i="6"/>
  <c r="CV12" i="5"/>
  <c r="CV11" i="5"/>
  <c r="CV28" i="5"/>
  <c r="CV37" i="5"/>
  <c r="CV41" i="5"/>
  <c r="CV43" i="5"/>
  <c r="CV47" i="5"/>
  <c r="CX61" i="5"/>
  <c r="CX62" i="5"/>
  <c r="CX63" i="5"/>
  <c r="CX60" i="5"/>
  <c r="CW61" i="5"/>
  <c r="CV61" i="5" s="1"/>
  <c r="CW62" i="5"/>
  <c r="CV62" i="5" s="1"/>
  <c r="CV60" i="5" s="1"/>
  <c r="CW63" i="5"/>
  <c r="CS12" i="5"/>
  <c r="CS11" i="5" s="1"/>
  <c r="CS28" i="5"/>
  <c r="CS24" i="5" s="1"/>
  <c r="CS37" i="5"/>
  <c r="CS41" i="5"/>
  <c r="CS43" i="5"/>
  <c r="CS47" i="5"/>
  <c r="CU61" i="5"/>
  <c r="CU62" i="5"/>
  <c r="CU63" i="5"/>
  <c r="CV63" i="5"/>
  <c r="CT61" i="5"/>
  <c r="CT62" i="5"/>
  <c r="CT60" i="5" s="1"/>
  <c r="CT64" i="5" s="1"/>
  <c r="CT63" i="5"/>
  <c r="CS63" i="5"/>
  <c r="CP12" i="5"/>
  <c r="CP11" i="5"/>
  <c r="CP10" i="5" s="1"/>
  <c r="CP9" i="5" s="1"/>
  <c r="CP28" i="5"/>
  <c r="CP24" i="5" s="1"/>
  <c r="CP37" i="5"/>
  <c r="CP41" i="5"/>
  <c r="CP43" i="5"/>
  <c r="CP47" i="5"/>
  <c r="CQ61" i="5"/>
  <c r="CQ62" i="5"/>
  <c r="CQ63" i="5"/>
  <c r="CR61" i="5"/>
  <c r="CR62" i="5"/>
  <c r="CR63" i="5"/>
  <c r="CP63" i="5" s="1"/>
  <c r="CR60" i="5"/>
  <c r="CP62" i="5"/>
  <c r="CM61" i="5"/>
  <c r="CM62" i="5"/>
  <c r="CM63" i="5"/>
  <c r="CM60" i="5"/>
  <c r="CM64" i="5"/>
  <c r="CK12" i="5"/>
  <c r="CK11" i="5"/>
  <c r="CK28" i="5"/>
  <c r="CK37" i="5"/>
  <c r="CK41" i="5"/>
  <c r="CK43" i="5"/>
  <c r="CO43" i="5" s="1"/>
  <c r="CK47" i="5"/>
  <c r="CL61" i="5"/>
  <c r="CK61" i="5" s="1"/>
  <c r="CL62" i="5"/>
  <c r="CK62" i="5"/>
  <c r="CO62" i="5" s="1"/>
  <c r="CL63" i="5"/>
  <c r="CK63" i="5" s="1"/>
  <c r="CO63" i="5" s="1"/>
  <c r="CN12" i="5"/>
  <c r="CN11" i="5"/>
  <c r="CN25" i="5"/>
  <c r="CN28" i="5"/>
  <c r="CO28" i="5" s="1"/>
  <c r="CN37" i="5"/>
  <c r="CN41" i="5"/>
  <c r="CN43" i="5"/>
  <c r="CN47" i="5"/>
  <c r="CN60" i="5"/>
  <c r="CI12" i="5"/>
  <c r="CI11" i="5"/>
  <c r="CI28" i="5"/>
  <c r="CI24" i="5" s="1"/>
  <c r="CI37" i="5"/>
  <c r="CI10" i="5"/>
  <c r="CI47" i="5"/>
  <c r="CJ47" i="5" s="1"/>
  <c r="CI60" i="5"/>
  <c r="CF12" i="5"/>
  <c r="CF11" i="5" s="1"/>
  <c r="CF28" i="5"/>
  <c r="CF24" i="5" s="1"/>
  <c r="CF37" i="5"/>
  <c r="CF41" i="5"/>
  <c r="CF43" i="5"/>
  <c r="CF10" i="5"/>
  <c r="CF59" i="5" s="1"/>
  <c r="CF47" i="5"/>
  <c r="CG59" i="5"/>
  <c r="CH60" i="5"/>
  <c r="CF61" i="5"/>
  <c r="CF60" i="5" s="1"/>
  <c r="CJ60" i="5" s="1"/>
  <c r="CF62" i="5"/>
  <c r="CJ62" i="5" s="1"/>
  <c r="CF63" i="5"/>
  <c r="CG60" i="5"/>
  <c r="CG64" i="5"/>
  <c r="CG69" i="5" s="1"/>
  <c r="CF69" i="5"/>
  <c r="AD61" i="5"/>
  <c r="AD60" i="5" s="1"/>
  <c r="AD64" i="5" s="1"/>
  <c r="AD62" i="5"/>
  <c r="AD63" i="5"/>
  <c r="AC61" i="5"/>
  <c r="AC62" i="5"/>
  <c r="AC63" i="5"/>
  <c r="Y12" i="5"/>
  <c r="Y11" i="5"/>
  <c r="Y25" i="5"/>
  <c r="Y24" i="5" s="1"/>
  <c r="Y28" i="5"/>
  <c r="Y37" i="5"/>
  <c r="Y41" i="5"/>
  <c r="Y43" i="5"/>
  <c r="Y47" i="5"/>
  <c r="AA61" i="5"/>
  <c r="AA60" i="5" s="1"/>
  <c r="AA62" i="5"/>
  <c r="AA63" i="5"/>
  <c r="AB12" i="5"/>
  <c r="AB11" i="5" s="1"/>
  <c r="AB10" i="5" s="1"/>
  <c r="AB25" i="5"/>
  <c r="AB28" i="5"/>
  <c r="AB37" i="5"/>
  <c r="AB41" i="5"/>
  <c r="AB43" i="5"/>
  <c r="AB24" i="5"/>
  <c r="AB47" i="5"/>
  <c r="AB62" i="5"/>
  <c r="AB63" i="5"/>
  <c r="Z61" i="5"/>
  <c r="Z62" i="5"/>
  <c r="Y62" i="5"/>
  <c r="Z63" i="5"/>
  <c r="Y63" i="5" s="1"/>
  <c r="V12" i="5"/>
  <c r="V11" i="5" s="1"/>
  <c r="V25" i="5"/>
  <c r="V24" i="5" s="1"/>
  <c r="V28" i="5"/>
  <c r="V37" i="5"/>
  <c r="V41" i="5"/>
  <c r="V43" i="5"/>
  <c r="V47" i="5"/>
  <c r="W61" i="5"/>
  <c r="W62" i="5"/>
  <c r="V62" i="5" s="1"/>
  <c r="W63" i="5"/>
  <c r="X61" i="5"/>
  <c r="X62" i="5"/>
  <c r="X63" i="5"/>
  <c r="X60" i="5"/>
  <c r="V63" i="5"/>
  <c r="Q12" i="5"/>
  <c r="Q11" i="5"/>
  <c r="Q25" i="5"/>
  <c r="Q28" i="5"/>
  <c r="Q37" i="5"/>
  <c r="U37" i="5" s="1"/>
  <c r="Q41" i="5"/>
  <c r="U41" i="5" s="1"/>
  <c r="Q43" i="5"/>
  <c r="Q47" i="5"/>
  <c r="S61" i="5"/>
  <c r="S62" i="5"/>
  <c r="S63" i="5"/>
  <c r="R61" i="5"/>
  <c r="R62" i="5"/>
  <c r="R60" i="5" s="1"/>
  <c r="R64" i="5" s="1"/>
  <c r="Q62" i="5"/>
  <c r="U62" i="5" s="1"/>
  <c r="R63" i="5"/>
  <c r="Q63" i="5"/>
  <c r="T12" i="5"/>
  <c r="T11" i="5"/>
  <c r="T25" i="5"/>
  <c r="T28" i="5"/>
  <c r="T37" i="5"/>
  <c r="T41" i="5"/>
  <c r="T43" i="5"/>
  <c r="T47" i="5"/>
  <c r="U47" i="5" s="1"/>
  <c r="T60" i="5"/>
  <c r="O12" i="5"/>
  <c r="O11" i="5" s="1"/>
  <c r="O25" i="5"/>
  <c r="O28" i="5"/>
  <c r="O37" i="5"/>
  <c r="O41" i="5"/>
  <c r="P41" i="5" s="1"/>
  <c r="O47" i="5"/>
  <c r="O60" i="5"/>
  <c r="L12" i="5"/>
  <c r="L18" i="5"/>
  <c r="L11" i="5"/>
  <c r="L27" i="5"/>
  <c r="L25" i="5"/>
  <c r="L24" i="5" s="1"/>
  <c r="L10" i="5" s="1"/>
  <c r="L28" i="5"/>
  <c r="P28" i="5" s="1"/>
  <c r="L37" i="5"/>
  <c r="L41" i="5"/>
  <c r="L43" i="5"/>
  <c r="L47" i="5"/>
  <c r="L59" i="5"/>
  <c r="N60" i="5"/>
  <c r="L61" i="5"/>
  <c r="L62" i="5"/>
  <c r="L63" i="5"/>
  <c r="L60" i="5"/>
  <c r="P60" i="5" s="1"/>
  <c r="M60" i="5"/>
  <c r="M64" i="5"/>
  <c r="J64" i="5"/>
  <c r="M69" i="5"/>
  <c r="H64" i="5"/>
  <c r="K69" i="5"/>
  <c r="J69" i="5"/>
  <c r="I69" i="5"/>
  <c r="H69" i="5"/>
  <c r="G69" i="5"/>
  <c r="F69" i="5"/>
  <c r="E69" i="5"/>
  <c r="D69" i="5"/>
  <c r="CM68" i="5"/>
  <c r="CG68" i="5"/>
  <c r="CF68" i="5"/>
  <c r="AD68" i="5"/>
  <c r="J59" i="5"/>
  <c r="M68" i="5" s="1"/>
  <c r="H59" i="5"/>
  <c r="K68" i="5"/>
  <c r="J68" i="5"/>
  <c r="I68" i="5"/>
  <c r="H68" i="5"/>
  <c r="G68" i="5"/>
  <c r="F68" i="5"/>
  <c r="E68" i="5"/>
  <c r="D68" i="5"/>
  <c r="CW67" i="5"/>
  <c r="AD67" i="5"/>
  <c r="AC67" i="5"/>
  <c r="K67" i="5"/>
  <c r="J67" i="5"/>
  <c r="I67" i="5"/>
  <c r="H67" i="5"/>
  <c r="G67" i="5"/>
  <c r="F67" i="5"/>
  <c r="E67" i="5"/>
  <c r="D67" i="5"/>
  <c r="CX66" i="5"/>
  <c r="CW66" i="5"/>
  <c r="CO66" i="5"/>
  <c r="CJ66" i="5"/>
  <c r="CE66" i="5"/>
  <c r="CB66" i="5"/>
  <c r="BX66" i="5"/>
  <c r="AD66" i="5"/>
  <c r="AC66" i="5"/>
  <c r="U66" i="5"/>
  <c r="P66" i="5"/>
  <c r="K66" i="5"/>
  <c r="J66" i="5"/>
  <c r="I66" i="5"/>
  <c r="H66" i="5"/>
  <c r="G66" i="5"/>
  <c r="F66" i="5"/>
  <c r="E66" i="5"/>
  <c r="D66" i="5"/>
  <c r="CX65" i="5"/>
  <c r="CW65" i="5"/>
  <c r="CO65" i="5"/>
  <c r="CJ65" i="5"/>
  <c r="AD65" i="5"/>
  <c r="AC65" i="5"/>
  <c r="U65" i="5"/>
  <c r="P65" i="5"/>
  <c r="K65" i="5"/>
  <c r="J65" i="5"/>
  <c r="I65" i="5"/>
  <c r="H65" i="5"/>
  <c r="G65" i="5"/>
  <c r="F65" i="5"/>
  <c r="E65" i="5"/>
  <c r="D65" i="5"/>
  <c r="K64" i="5"/>
  <c r="I64" i="5"/>
  <c r="G64" i="5"/>
  <c r="F64" i="5"/>
  <c r="E64" i="5"/>
  <c r="D64" i="5"/>
  <c r="CJ63" i="5"/>
  <c r="U63" i="5"/>
  <c r="P63" i="5"/>
  <c r="K63" i="5"/>
  <c r="J63" i="5"/>
  <c r="I63" i="5"/>
  <c r="H63" i="5"/>
  <c r="G63" i="5"/>
  <c r="F63" i="5"/>
  <c r="E63" i="5"/>
  <c r="D63" i="5"/>
  <c r="P62" i="5"/>
  <c r="K62" i="5"/>
  <c r="J62" i="5"/>
  <c r="I62" i="5"/>
  <c r="H62" i="5"/>
  <c r="G62" i="5"/>
  <c r="F62" i="5"/>
  <c r="E62" i="5"/>
  <c r="D62" i="5"/>
  <c r="CJ61" i="5"/>
  <c r="P61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CZ59" i="5"/>
  <c r="DC59" i="5"/>
  <c r="DF59" i="5"/>
  <c r="DI59" i="5" s="1"/>
  <c r="DL59" i="5" s="1"/>
  <c r="DO59" i="5" s="1"/>
  <c r="DR59" i="5" s="1"/>
  <c r="DU59" i="5" s="1"/>
  <c r="DX59" i="5" s="1"/>
  <c r="EA59" i="5" s="1"/>
  <c r="ED59" i="5" s="1"/>
  <c r="EG59" i="5" s="1"/>
  <c r="EJ59" i="5" s="1"/>
  <c r="EM59" i="5" s="1"/>
  <c r="EP59" i="5" s="1"/>
  <c r="AG59" i="5"/>
  <c r="AJ59" i="5" s="1"/>
  <c r="AM59" i="5" s="1"/>
  <c r="AP59" i="5" s="1"/>
  <c r="AS59" i="5" s="1"/>
  <c r="AV59" i="5" s="1"/>
  <c r="AY59" i="5" s="1"/>
  <c r="BB59" i="5" s="1"/>
  <c r="BE59" i="5" s="1"/>
  <c r="BH59" i="5" s="1"/>
  <c r="BK59" i="5"/>
  <c r="BN59" i="5" s="1"/>
  <c r="BQ59" i="5" s="1"/>
  <c r="BT59" i="5" s="1"/>
  <c r="BW59" i="5" s="1"/>
  <c r="AF59" i="5"/>
  <c r="AI59" i="5"/>
  <c r="AL59" i="5" s="1"/>
  <c r="AO59" i="5" s="1"/>
  <c r="AR59" i="5" s="1"/>
  <c r="AU59" i="5" s="1"/>
  <c r="AX59" i="5" s="1"/>
  <c r="BA59" i="5" s="1"/>
  <c r="BD59" i="5" s="1"/>
  <c r="BG59" i="5" s="1"/>
  <c r="BJ59" i="5" s="1"/>
  <c r="BM59" i="5" s="1"/>
  <c r="BP59" i="5" s="1"/>
  <c r="BS59" i="5" s="1"/>
  <c r="BV59" i="5" s="1"/>
  <c r="K59" i="5"/>
  <c r="I59" i="5"/>
  <c r="G59" i="5"/>
  <c r="F59" i="5"/>
  <c r="E59" i="5"/>
  <c r="D59" i="5"/>
  <c r="CO58" i="5"/>
  <c r="CJ58" i="5"/>
  <c r="U58" i="5"/>
  <c r="P58" i="5"/>
  <c r="EL57" i="5"/>
  <c r="EI57" i="5"/>
  <c r="EF57" i="5"/>
  <c r="EC57" i="5"/>
  <c r="DZ57" i="5"/>
  <c r="DW57" i="5"/>
  <c r="DT57" i="5"/>
  <c r="DQ57" i="5"/>
  <c r="DN57" i="5"/>
  <c r="DK57" i="5"/>
  <c r="DH57" i="5"/>
  <c r="DE57" i="5"/>
  <c r="DB57" i="5"/>
  <c r="CY57" i="5"/>
  <c r="CV57" i="5"/>
  <c r="CS57" i="5"/>
  <c r="CP57" i="5"/>
  <c r="CK57" i="5"/>
  <c r="CO57" i="5"/>
  <c r="CF57" i="5"/>
  <c r="CJ57" i="5"/>
  <c r="CE57" i="5"/>
  <c r="CD57" i="5"/>
  <c r="CC57" i="5"/>
  <c r="CB57" i="5"/>
  <c r="CA57" i="5"/>
  <c r="BZ57" i="5"/>
  <c r="BY57" i="5"/>
  <c r="BX57" i="5"/>
  <c r="BR57" i="5"/>
  <c r="BO57" i="5"/>
  <c r="BL57" i="5"/>
  <c r="BI57" i="5"/>
  <c r="BF57" i="5"/>
  <c r="BC57" i="5"/>
  <c r="AZ57" i="5"/>
  <c r="AW57" i="5"/>
  <c r="AT57" i="5"/>
  <c r="AQ57" i="5"/>
  <c r="AN57" i="5"/>
  <c r="AK57" i="5"/>
  <c r="AH57" i="5"/>
  <c r="AE57" i="5"/>
  <c r="AB57" i="5"/>
  <c r="Y57" i="5"/>
  <c r="V57" i="5"/>
  <c r="T57" i="5"/>
  <c r="U57" i="5" s="1"/>
  <c r="Q57" i="5"/>
  <c r="L57" i="5"/>
  <c r="P57" i="5"/>
  <c r="K57" i="5"/>
  <c r="J57" i="5"/>
  <c r="I57" i="5"/>
  <c r="H57" i="5"/>
  <c r="G57" i="5"/>
  <c r="F57" i="5"/>
  <c r="E57" i="5"/>
  <c r="D57" i="5"/>
  <c r="EL56" i="5"/>
  <c r="EI56" i="5"/>
  <c r="EF56" i="5"/>
  <c r="EC56" i="5"/>
  <c r="DZ56" i="5"/>
  <c r="DW56" i="5"/>
  <c r="DT56" i="5"/>
  <c r="DQ56" i="5"/>
  <c r="DN56" i="5"/>
  <c r="DK56" i="5"/>
  <c r="DH56" i="5"/>
  <c r="DE56" i="5"/>
  <c r="DB56" i="5"/>
  <c r="CY56" i="5"/>
  <c r="CV56" i="5"/>
  <c r="CS56" i="5"/>
  <c r="CP56" i="5"/>
  <c r="CK56" i="5"/>
  <c r="CO56" i="5"/>
  <c r="CF56" i="5"/>
  <c r="CJ56" i="5"/>
  <c r="CE56" i="5"/>
  <c r="CD56" i="5"/>
  <c r="CC56" i="5"/>
  <c r="CB56" i="5"/>
  <c r="CA56" i="5"/>
  <c r="BZ56" i="5"/>
  <c r="BY56" i="5"/>
  <c r="BX56" i="5"/>
  <c r="BR56" i="5"/>
  <c r="BO56" i="5"/>
  <c r="BL56" i="5"/>
  <c r="BI56" i="5"/>
  <c r="BF56" i="5"/>
  <c r="BC56" i="5"/>
  <c r="AZ56" i="5"/>
  <c r="AW56" i="5"/>
  <c r="AT56" i="5"/>
  <c r="AQ56" i="5"/>
  <c r="AN56" i="5"/>
  <c r="AK56" i="5"/>
  <c r="AH56" i="5"/>
  <c r="AE56" i="5"/>
  <c r="AB56" i="5"/>
  <c r="Y56" i="5"/>
  <c r="V56" i="5"/>
  <c r="T56" i="5"/>
  <c r="Q56" i="5"/>
  <c r="L56" i="5"/>
  <c r="P56" i="5"/>
  <c r="K56" i="5"/>
  <c r="J56" i="5"/>
  <c r="I56" i="5"/>
  <c r="H56" i="5"/>
  <c r="G56" i="5"/>
  <c r="F56" i="5"/>
  <c r="E56" i="5"/>
  <c r="D56" i="5"/>
  <c r="EL55" i="5"/>
  <c r="EI55" i="5"/>
  <c r="EF55" i="5"/>
  <c r="EC55" i="5"/>
  <c r="DZ55" i="5"/>
  <c r="DW55" i="5"/>
  <c r="DT55" i="5"/>
  <c r="DQ55" i="5"/>
  <c r="DN55" i="5"/>
  <c r="DK55" i="5"/>
  <c r="DH55" i="5"/>
  <c r="DE55" i="5"/>
  <c r="DB55" i="5"/>
  <c r="CY55" i="5"/>
  <c r="CV55" i="5"/>
  <c r="CS55" i="5"/>
  <c r="CP55" i="5"/>
  <c r="CK55" i="5"/>
  <c r="CO55" i="5" s="1"/>
  <c r="CF55" i="5"/>
  <c r="CJ55" i="5"/>
  <c r="CE55" i="5"/>
  <c r="CD55" i="5"/>
  <c r="CC55" i="5"/>
  <c r="CB55" i="5"/>
  <c r="CA55" i="5"/>
  <c r="BZ55" i="5"/>
  <c r="BY55" i="5"/>
  <c r="BX55" i="5"/>
  <c r="BR55" i="5"/>
  <c r="BO55" i="5"/>
  <c r="BL55" i="5"/>
  <c r="BI55" i="5"/>
  <c r="BF55" i="5"/>
  <c r="BC55" i="5"/>
  <c r="AZ55" i="5"/>
  <c r="AW55" i="5"/>
  <c r="AT55" i="5"/>
  <c r="AQ55" i="5"/>
  <c r="AN55" i="5"/>
  <c r="AK55" i="5"/>
  <c r="AH55" i="5"/>
  <c r="AE55" i="5"/>
  <c r="AB55" i="5"/>
  <c r="Y55" i="5"/>
  <c r="V55" i="5"/>
  <c r="T55" i="5"/>
  <c r="Q55" i="5"/>
  <c r="U55" i="5" s="1"/>
  <c r="L55" i="5"/>
  <c r="P55" i="5" s="1"/>
  <c r="K55" i="5"/>
  <c r="J55" i="5"/>
  <c r="I55" i="5"/>
  <c r="H55" i="5"/>
  <c r="G55" i="5"/>
  <c r="F55" i="5"/>
  <c r="E55" i="5"/>
  <c r="D55" i="5"/>
  <c r="EL54" i="5"/>
  <c r="EI54" i="5"/>
  <c r="EF54" i="5"/>
  <c r="EC54" i="5"/>
  <c r="DZ54" i="5"/>
  <c r="DW54" i="5"/>
  <c r="DT54" i="5"/>
  <c r="DQ54" i="5"/>
  <c r="DN54" i="5"/>
  <c r="DK54" i="5"/>
  <c r="DH54" i="5"/>
  <c r="DE54" i="5"/>
  <c r="DB54" i="5"/>
  <c r="CY54" i="5"/>
  <c r="CV54" i="5"/>
  <c r="CS54" i="5"/>
  <c r="CP54" i="5"/>
  <c r="CK54" i="5"/>
  <c r="CO54" i="5" s="1"/>
  <c r="CF54" i="5"/>
  <c r="CJ54" i="5"/>
  <c r="CE54" i="5"/>
  <c r="CD54" i="5"/>
  <c r="CC54" i="5"/>
  <c r="CB54" i="5"/>
  <c r="CA54" i="5"/>
  <c r="BZ54" i="5"/>
  <c r="BY54" i="5"/>
  <c r="BX54" i="5"/>
  <c r="BR54" i="5"/>
  <c r="BO54" i="5"/>
  <c r="BL54" i="5"/>
  <c r="BI54" i="5"/>
  <c r="BF54" i="5"/>
  <c r="BC54" i="5"/>
  <c r="AZ54" i="5"/>
  <c r="AW54" i="5"/>
  <c r="AT54" i="5"/>
  <c r="AQ54" i="5"/>
  <c r="AN54" i="5"/>
  <c r="AK54" i="5"/>
  <c r="AH54" i="5"/>
  <c r="AE54" i="5"/>
  <c r="AB54" i="5"/>
  <c r="Y54" i="5"/>
  <c r="V54" i="5"/>
  <c r="T54" i="5"/>
  <c r="Q54" i="5"/>
  <c r="U54" i="5"/>
  <c r="L54" i="5"/>
  <c r="P54" i="5" s="1"/>
  <c r="K54" i="5"/>
  <c r="J54" i="5"/>
  <c r="I54" i="5"/>
  <c r="H54" i="5"/>
  <c r="G54" i="5"/>
  <c r="F54" i="5"/>
  <c r="E54" i="5"/>
  <c r="D54" i="5"/>
  <c r="EL53" i="5"/>
  <c r="EI53" i="5"/>
  <c r="EF53" i="5"/>
  <c r="EC53" i="5"/>
  <c r="DZ53" i="5"/>
  <c r="DW53" i="5"/>
  <c r="DT53" i="5"/>
  <c r="DQ53" i="5"/>
  <c r="DN53" i="5"/>
  <c r="DK53" i="5"/>
  <c r="DH53" i="5"/>
  <c r="DE53" i="5"/>
  <c r="DB53" i="5"/>
  <c r="CY53" i="5"/>
  <c r="CV53" i="5"/>
  <c r="CS53" i="5"/>
  <c r="CP53" i="5"/>
  <c r="CK53" i="5"/>
  <c r="CO53" i="5"/>
  <c r="CF53" i="5"/>
  <c r="CJ53" i="5" s="1"/>
  <c r="CE53" i="5"/>
  <c r="CD53" i="5"/>
  <c r="CC53" i="5"/>
  <c r="CB53" i="5"/>
  <c r="CA53" i="5"/>
  <c r="BZ53" i="5"/>
  <c r="BY53" i="5"/>
  <c r="BX53" i="5"/>
  <c r="BR53" i="5"/>
  <c r="BO53" i="5"/>
  <c r="BL53" i="5"/>
  <c r="BI53" i="5"/>
  <c r="BF53" i="5"/>
  <c r="BC53" i="5"/>
  <c r="AZ53" i="5"/>
  <c r="AW53" i="5"/>
  <c r="AT53" i="5"/>
  <c r="AQ53" i="5"/>
  <c r="AN53" i="5"/>
  <c r="AK53" i="5"/>
  <c r="AH53" i="5"/>
  <c r="AE53" i="5"/>
  <c r="AB53" i="5"/>
  <c r="Y53" i="5"/>
  <c r="V53" i="5"/>
  <c r="T53" i="5"/>
  <c r="U53" i="5" s="1"/>
  <c r="Q53" i="5"/>
  <c r="L53" i="5"/>
  <c r="P53" i="5"/>
  <c r="K53" i="5"/>
  <c r="J53" i="5"/>
  <c r="I53" i="5"/>
  <c r="H53" i="5"/>
  <c r="G53" i="5"/>
  <c r="F53" i="5"/>
  <c r="E53" i="5"/>
  <c r="D53" i="5"/>
  <c r="EL52" i="5"/>
  <c r="EI52" i="5"/>
  <c r="EF52" i="5"/>
  <c r="EC52" i="5"/>
  <c r="DZ52" i="5"/>
  <c r="DW52" i="5"/>
  <c r="DT52" i="5"/>
  <c r="DQ52" i="5"/>
  <c r="DN52" i="5"/>
  <c r="DK52" i="5"/>
  <c r="DH52" i="5"/>
  <c r="DE52" i="5"/>
  <c r="DB52" i="5"/>
  <c r="CY52" i="5"/>
  <c r="CV52" i="5"/>
  <c r="CS52" i="5"/>
  <c r="CP52" i="5"/>
  <c r="CK52" i="5"/>
  <c r="CO52" i="5"/>
  <c r="CF52" i="5"/>
  <c r="CJ52" i="5" s="1"/>
  <c r="CE52" i="5"/>
  <c r="CD52" i="5"/>
  <c r="CC52" i="5"/>
  <c r="CB52" i="5"/>
  <c r="CA52" i="5"/>
  <c r="BZ52" i="5"/>
  <c r="BY52" i="5"/>
  <c r="BX52" i="5"/>
  <c r="BR52" i="5"/>
  <c r="BO52" i="5"/>
  <c r="BL52" i="5"/>
  <c r="BI52" i="5"/>
  <c r="BF52" i="5"/>
  <c r="BC52" i="5"/>
  <c r="AZ52" i="5"/>
  <c r="AW52" i="5"/>
  <c r="AT52" i="5"/>
  <c r="AQ52" i="5"/>
  <c r="AN52" i="5"/>
  <c r="AK52" i="5"/>
  <c r="AH52" i="5"/>
  <c r="AE52" i="5"/>
  <c r="AB52" i="5"/>
  <c r="Y52" i="5"/>
  <c r="V52" i="5"/>
  <c r="T52" i="5"/>
  <c r="Q52" i="5"/>
  <c r="U52" i="5"/>
  <c r="L52" i="5"/>
  <c r="P52" i="5"/>
  <c r="K52" i="5"/>
  <c r="J52" i="5"/>
  <c r="I52" i="5"/>
  <c r="H52" i="5"/>
  <c r="G52" i="5"/>
  <c r="F52" i="5"/>
  <c r="E52" i="5"/>
  <c r="D52" i="5"/>
  <c r="CY51" i="5"/>
  <c r="DB51" i="5" s="1"/>
  <c r="DE51" i="5" s="1"/>
  <c r="DH51" i="5" s="1"/>
  <c r="DK51" i="5" s="1"/>
  <c r="DN51" i="5" s="1"/>
  <c r="DQ51" i="5" s="1"/>
  <c r="DT51" i="5"/>
  <c r="DW51" i="5"/>
  <c r="DZ51" i="5" s="1"/>
  <c r="EC51" i="5" s="1"/>
  <c r="EF51" i="5" s="1"/>
  <c r="EI51" i="5" s="1"/>
  <c r="EL51" i="5" s="1"/>
  <c r="EO51" i="5" s="1"/>
  <c r="CO51" i="5"/>
  <c r="CJ51" i="5"/>
  <c r="CE51" i="5"/>
  <c r="CD51" i="5"/>
  <c r="CC51" i="5"/>
  <c r="CB51" i="5"/>
  <c r="CA51" i="5"/>
  <c r="BZ51" i="5"/>
  <c r="BY51" i="5"/>
  <c r="BX51" i="5"/>
  <c r="AE51" i="5"/>
  <c r="AH51" i="5"/>
  <c r="AK51" i="5"/>
  <c r="AN51" i="5"/>
  <c r="AQ51" i="5"/>
  <c r="AT51" i="5" s="1"/>
  <c r="AW51" i="5"/>
  <c r="AZ51" i="5" s="1"/>
  <c r="BC51" i="5" s="1"/>
  <c r="BF51" i="5" s="1"/>
  <c r="BI51" i="5" s="1"/>
  <c r="BL51" i="5" s="1"/>
  <c r="BO51" i="5" s="1"/>
  <c r="BR51" i="5" s="1"/>
  <c r="BU51" i="5" s="1"/>
  <c r="U51" i="5"/>
  <c r="P51" i="5"/>
  <c r="K51" i="5"/>
  <c r="J51" i="5"/>
  <c r="I51" i="5"/>
  <c r="H51" i="5"/>
  <c r="G51" i="5"/>
  <c r="F51" i="5"/>
  <c r="E51" i="5"/>
  <c r="D51" i="5"/>
  <c r="CY50" i="5"/>
  <c r="DB50" i="5"/>
  <c r="DE50" i="5"/>
  <c r="DH50" i="5"/>
  <c r="DK50" i="5" s="1"/>
  <c r="DN50" i="5" s="1"/>
  <c r="DQ50" i="5" s="1"/>
  <c r="DT50" i="5" s="1"/>
  <c r="DW50" i="5" s="1"/>
  <c r="DZ50" i="5" s="1"/>
  <c r="EC50" i="5" s="1"/>
  <c r="EF50" i="5" s="1"/>
  <c r="EI50" i="5" s="1"/>
  <c r="EL50" i="5" s="1"/>
  <c r="EO50" i="5" s="1"/>
  <c r="CO50" i="5"/>
  <c r="CJ50" i="5"/>
  <c r="CE50" i="5"/>
  <c r="CD50" i="5"/>
  <c r="CC50" i="5"/>
  <c r="CB50" i="5"/>
  <c r="CA50" i="5"/>
  <c r="BZ50" i="5"/>
  <c r="BY50" i="5"/>
  <c r="BX50" i="5"/>
  <c r="AE50" i="5"/>
  <c r="AH50" i="5"/>
  <c r="AK50" i="5"/>
  <c r="AN50" i="5" s="1"/>
  <c r="AQ50" i="5"/>
  <c r="AT50" i="5" s="1"/>
  <c r="AW50" i="5" s="1"/>
  <c r="AZ50" i="5" s="1"/>
  <c r="BC50" i="5" s="1"/>
  <c r="BF50" i="5" s="1"/>
  <c r="BI50" i="5" s="1"/>
  <c r="BL50" i="5" s="1"/>
  <c r="BO50" i="5" s="1"/>
  <c r="BR50" i="5" s="1"/>
  <c r="BU50" i="5" s="1"/>
  <c r="U50" i="5"/>
  <c r="P50" i="5"/>
  <c r="K50" i="5"/>
  <c r="H50" i="5"/>
  <c r="G50" i="5"/>
  <c r="D50" i="5"/>
  <c r="CY49" i="5"/>
  <c r="DB49" i="5" s="1"/>
  <c r="DE49" i="5" s="1"/>
  <c r="DH49" i="5" s="1"/>
  <c r="DK49" i="5" s="1"/>
  <c r="DN49" i="5" s="1"/>
  <c r="DQ49" i="5" s="1"/>
  <c r="DT49" i="5" s="1"/>
  <c r="DW49" i="5" s="1"/>
  <c r="DZ49" i="5" s="1"/>
  <c r="EC49" i="5" s="1"/>
  <c r="EF49" i="5" s="1"/>
  <c r="EI49" i="5" s="1"/>
  <c r="EL49" i="5" s="1"/>
  <c r="EO49" i="5" s="1"/>
  <c r="CO49" i="5"/>
  <c r="CJ49" i="5"/>
  <c r="CE49" i="5"/>
  <c r="CD49" i="5"/>
  <c r="CC49" i="5"/>
  <c r="CB49" i="5"/>
  <c r="CA49" i="5"/>
  <c r="BZ49" i="5"/>
  <c r="BY49" i="5"/>
  <c r="BX49" i="5"/>
  <c r="AE49" i="5"/>
  <c r="AH49" i="5"/>
  <c r="AK49" i="5"/>
  <c r="AN49" i="5"/>
  <c r="AQ49" i="5"/>
  <c r="AT49" i="5" s="1"/>
  <c r="AW49" i="5" s="1"/>
  <c r="AZ49" i="5" s="1"/>
  <c r="BC49" i="5" s="1"/>
  <c r="BF49" i="5" s="1"/>
  <c r="BI49" i="5" s="1"/>
  <c r="BL49" i="5" s="1"/>
  <c r="BO49" i="5" s="1"/>
  <c r="BR49" i="5" s="1"/>
  <c r="BU49" i="5" s="1"/>
  <c r="U49" i="5"/>
  <c r="P49" i="5"/>
  <c r="K49" i="5"/>
  <c r="H49" i="5"/>
  <c r="G49" i="5"/>
  <c r="D49" i="5"/>
  <c r="CY48" i="5"/>
  <c r="DB48" i="5"/>
  <c r="DE48" i="5" s="1"/>
  <c r="DH48" i="5" s="1"/>
  <c r="DK48" i="5" s="1"/>
  <c r="DN48" i="5" s="1"/>
  <c r="DQ48" i="5" s="1"/>
  <c r="DT48" i="5" s="1"/>
  <c r="DW48" i="5" s="1"/>
  <c r="DZ48" i="5" s="1"/>
  <c r="EC48" i="5" s="1"/>
  <c r="EF48" i="5" s="1"/>
  <c r="EI48" i="5" s="1"/>
  <c r="EL48" i="5" s="1"/>
  <c r="EO48" i="5" s="1"/>
  <c r="CO48" i="5"/>
  <c r="CJ48" i="5"/>
  <c r="CE48" i="5"/>
  <c r="CD48" i="5"/>
  <c r="CC48" i="5"/>
  <c r="CB48" i="5"/>
  <c r="CA48" i="5"/>
  <c r="BZ48" i="5"/>
  <c r="BY48" i="5"/>
  <c r="BX48" i="5"/>
  <c r="AE48" i="5"/>
  <c r="AH48" i="5"/>
  <c r="AK48" i="5" s="1"/>
  <c r="AN48" i="5" s="1"/>
  <c r="AQ48" i="5" s="1"/>
  <c r="AT48" i="5" s="1"/>
  <c r="AW48" i="5" s="1"/>
  <c r="AZ48" i="5" s="1"/>
  <c r="BC48" i="5"/>
  <c r="BF48" i="5" s="1"/>
  <c r="BI48" i="5" s="1"/>
  <c r="BL48" i="5" s="1"/>
  <c r="BO48" i="5" s="1"/>
  <c r="BR48" i="5" s="1"/>
  <c r="BU48" i="5" s="1"/>
  <c r="U48" i="5"/>
  <c r="P48" i="5"/>
  <c r="K48" i="5"/>
  <c r="H48" i="5"/>
  <c r="G48" i="5"/>
  <c r="D48" i="5"/>
  <c r="CY47" i="5"/>
  <c r="DB47" i="5"/>
  <c r="DE47" i="5" s="1"/>
  <c r="DH47" i="5"/>
  <c r="DK47" i="5" s="1"/>
  <c r="DN47" i="5" s="1"/>
  <c r="DQ47" i="5" s="1"/>
  <c r="DT47" i="5" s="1"/>
  <c r="DW47" i="5" s="1"/>
  <c r="DZ47" i="5" s="1"/>
  <c r="EC47" i="5" s="1"/>
  <c r="EF47" i="5" s="1"/>
  <c r="EI47" i="5" s="1"/>
  <c r="EL47" i="5" s="1"/>
  <c r="EO47" i="5" s="1"/>
  <c r="CO47" i="5"/>
  <c r="CE47" i="5"/>
  <c r="CD47" i="5"/>
  <c r="CC47" i="5"/>
  <c r="CB47" i="5"/>
  <c r="CA47" i="5"/>
  <c r="BZ47" i="5"/>
  <c r="BY47" i="5"/>
  <c r="BX47" i="5"/>
  <c r="AE47" i="5"/>
  <c r="AH47" i="5" s="1"/>
  <c r="AK47" i="5" s="1"/>
  <c r="AN47" i="5" s="1"/>
  <c r="AQ47" i="5" s="1"/>
  <c r="AT47" i="5" s="1"/>
  <c r="AW47" i="5" s="1"/>
  <c r="AZ47" i="5" s="1"/>
  <c r="BC47" i="5" s="1"/>
  <c r="BF47" i="5" s="1"/>
  <c r="BI47" i="5" s="1"/>
  <c r="BL47" i="5" s="1"/>
  <c r="BO47" i="5" s="1"/>
  <c r="BR47" i="5" s="1"/>
  <c r="BU47" i="5" s="1"/>
  <c r="S47" i="5"/>
  <c r="R47" i="5"/>
  <c r="P47" i="5"/>
  <c r="K47" i="5"/>
  <c r="H47" i="5"/>
  <c r="G47" i="5"/>
  <c r="D47" i="5"/>
  <c r="CY46" i="5"/>
  <c r="DB46" i="5"/>
  <c r="DE46" i="5" s="1"/>
  <c r="DH46" i="5" s="1"/>
  <c r="DK46" i="5" s="1"/>
  <c r="DN46" i="5" s="1"/>
  <c r="DQ46" i="5" s="1"/>
  <c r="DT46" i="5" s="1"/>
  <c r="DW46" i="5" s="1"/>
  <c r="DZ46" i="5" s="1"/>
  <c r="EC46" i="5" s="1"/>
  <c r="EF46" i="5" s="1"/>
  <c r="EI46" i="5" s="1"/>
  <c r="EL46" i="5" s="1"/>
  <c r="EO46" i="5" s="1"/>
  <c r="CO46" i="5"/>
  <c r="CJ46" i="5"/>
  <c r="CE46" i="5"/>
  <c r="CD46" i="5"/>
  <c r="CC46" i="5"/>
  <c r="CB46" i="5"/>
  <c r="CA46" i="5"/>
  <c r="BZ46" i="5"/>
  <c r="BY46" i="5"/>
  <c r="BX46" i="5"/>
  <c r="AE46" i="5"/>
  <c r="AH46" i="5" s="1"/>
  <c r="AK46" i="5" s="1"/>
  <c r="AN46" i="5" s="1"/>
  <c r="AQ46" i="5" s="1"/>
  <c r="AT46" i="5" s="1"/>
  <c r="AW46" i="5" s="1"/>
  <c r="AZ46" i="5" s="1"/>
  <c r="BC46" i="5" s="1"/>
  <c r="BF46" i="5" s="1"/>
  <c r="BI46" i="5" s="1"/>
  <c r="BL46" i="5"/>
  <c r="BO46" i="5" s="1"/>
  <c r="BR46" i="5" s="1"/>
  <c r="BU46" i="5" s="1"/>
  <c r="U46" i="5"/>
  <c r="P46" i="5"/>
  <c r="K46" i="5"/>
  <c r="H46" i="5"/>
  <c r="G46" i="5"/>
  <c r="D46" i="5"/>
  <c r="CY45" i="5"/>
  <c r="DB45" i="5" s="1"/>
  <c r="DE45" i="5" s="1"/>
  <c r="DH45" i="5" s="1"/>
  <c r="DK45" i="5" s="1"/>
  <c r="DN45" i="5"/>
  <c r="DQ45" i="5" s="1"/>
  <c r="DT45" i="5" s="1"/>
  <c r="DW45" i="5" s="1"/>
  <c r="DZ45" i="5" s="1"/>
  <c r="EC45" i="5" s="1"/>
  <c r="EF45" i="5" s="1"/>
  <c r="EI45" i="5" s="1"/>
  <c r="EL45" i="5" s="1"/>
  <c r="EO45" i="5" s="1"/>
  <c r="CO45" i="5"/>
  <c r="CJ45" i="5"/>
  <c r="CE45" i="5"/>
  <c r="CD45" i="5"/>
  <c r="CC45" i="5"/>
  <c r="CB45" i="5"/>
  <c r="CA45" i="5"/>
  <c r="BZ45" i="5"/>
  <c r="BY45" i="5"/>
  <c r="BX45" i="5"/>
  <c r="AE45" i="5"/>
  <c r="AH45" i="5" s="1"/>
  <c r="AK45" i="5" s="1"/>
  <c r="AN45" i="5" s="1"/>
  <c r="AQ45" i="5" s="1"/>
  <c r="AT45" i="5"/>
  <c r="AW45" i="5" s="1"/>
  <c r="AZ45" i="5" s="1"/>
  <c r="BC45" i="5" s="1"/>
  <c r="BF45" i="5" s="1"/>
  <c r="BI45" i="5" s="1"/>
  <c r="BL45" i="5" s="1"/>
  <c r="BO45" i="5"/>
  <c r="BR45" i="5" s="1"/>
  <c r="BU45" i="5" s="1"/>
  <c r="U45" i="5"/>
  <c r="P45" i="5"/>
  <c r="K45" i="5"/>
  <c r="H45" i="5"/>
  <c r="G45" i="5"/>
  <c r="D45" i="5"/>
  <c r="CY44" i="5"/>
  <c r="DB44" i="5" s="1"/>
  <c r="DE44" i="5" s="1"/>
  <c r="DH44" i="5" s="1"/>
  <c r="DK44" i="5" s="1"/>
  <c r="DN44" i="5" s="1"/>
  <c r="DQ44" i="5" s="1"/>
  <c r="DT44" i="5" s="1"/>
  <c r="DW44" i="5" s="1"/>
  <c r="DZ44" i="5" s="1"/>
  <c r="EC44" i="5" s="1"/>
  <c r="EF44" i="5" s="1"/>
  <c r="EI44" i="5" s="1"/>
  <c r="EL44" i="5" s="1"/>
  <c r="EO44" i="5" s="1"/>
  <c r="CO44" i="5"/>
  <c r="CJ44" i="5"/>
  <c r="CE44" i="5"/>
  <c r="CD44" i="5"/>
  <c r="CC44" i="5"/>
  <c r="CB44" i="5"/>
  <c r="CA44" i="5"/>
  <c r="BZ44" i="5"/>
  <c r="BY44" i="5"/>
  <c r="BX44" i="5"/>
  <c r="AE44" i="5"/>
  <c r="AH44" i="5"/>
  <c r="AK44" i="5"/>
  <c r="AN44" i="5" s="1"/>
  <c r="AQ44" i="5" s="1"/>
  <c r="AT44" i="5" s="1"/>
  <c r="AW44" i="5" s="1"/>
  <c r="AZ44" i="5" s="1"/>
  <c r="BC44" i="5" s="1"/>
  <c r="BF44" i="5" s="1"/>
  <c r="BI44" i="5" s="1"/>
  <c r="BL44" i="5" s="1"/>
  <c r="BO44" i="5" s="1"/>
  <c r="BR44" i="5" s="1"/>
  <c r="BU44" i="5" s="1"/>
  <c r="U44" i="5"/>
  <c r="P44" i="5"/>
  <c r="K44" i="5"/>
  <c r="H44" i="5"/>
  <c r="G44" i="5"/>
  <c r="D44" i="5"/>
  <c r="CY43" i="5"/>
  <c r="DB43" i="5"/>
  <c r="DE43" i="5" s="1"/>
  <c r="DH43" i="5" s="1"/>
  <c r="DK43" i="5" s="1"/>
  <c r="DN43" i="5" s="1"/>
  <c r="DQ43" i="5" s="1"/>
  <c r="DT43" i="5" s="1"/>
  <c r="DW43" i="5" s="1"/>
  <c r="DZ43" i="5" s="1"/>
  <c r="EC43" i="5" s="1"/>
  <c r="EF43" i="5" s="1"/>
  <c r="EI43" i="5" s="1"/>
  <c r="EL43" i="5" s="1"/>
  <c r="EO43" i="5" s="1"/>
  <c r="CJ43" i="5"/>
  <c r="CE43" i="5"/>
  <c r="CB43" i="5"/>
  <c r="CA43" i="5"/>
  <c r="BX43" i="5"/>
  <c r="AE43" i="5"/>
  <c r="AH43" i="5" s="1"/>
  <c r="AK43" i="5" s="1"/>
  <c r="AN43" i="5" s="1"/>
  <c r="AQ43" i="5" s="1"/>
  <c r="AT43" i="5" s="1"/>
  <c r="AW43" i="5" s="1"/>
  <c r="AZ43" i="5" s="1"/>
  <c r="BC43" i="5" s="1"/>
  <c r="BF43" i="5" s="1"/>
  <c r="BI43" i="5" s="1"/>
  <c r="BL43" i="5" s="1"/>
  <c r="BO43" i="5" s="1"/>
  <c r="BR43" i="5" s="1"/>
  <c r="BU43" i="5" s="1"/>
  <c r="U43" i="5"/>
  <c r="S43" i="5"/>
  <c r="R43" i="5"/>
  <c r="P43" i="5"/>
  <c r="K43" i="5"/>
  <c r="H43" i="5"/>
  <c r="G43" i="5"/>
  <c r="D43" i="5"/>
  <c r="CY42" i="5"/>
  <c r="DB42" i="5" s="1"/>
  <c r="DE42" i="5" s="1"/>
  <c r="DH42" i="5" s="1"/>
  <c r="DK42" i="5" s="1"/>
  <c r="DN42" i="5" s="1"/>
  <c r="DQ42" i="5" s="1"/>
  <c r="DT42" i="5" s="1"/>
  <c r="DW42" i="5" s="1"/>
  <c r="DZ42" i="5" s="1"/>
  <c r="EC42" i="5" s="1"/>
  <c r="EF42" i="5" s="1"/>
  <c r="EI42" i="5" s="1"/>
  <c r="EL42" i="5" s="1"/>
  <c r="EO42" i="5" s="1"/>
  <c r="CO42" i="5"/>
  <c r="CJ42" i="5"/>
  <c r="CE42" i="5"/>
  <c r="CB42" i="5"/>
  <c r="CA42" i="5"/>
  <c r="BX42" i="5"/>
  <c r="AE42" i="5"/>
  <c r="AH42" i="5" s="1"/>
  <c r="AK42" i="5" s="1"/>
  <c r="AN42" i="5" s="1"/>
  <c r="AQ42" i="5" s="1"/>
  <c r="AT42" i="5" s="1"/>
  <c r="AW42" i="5" s="1"/>
  <c r="AZ42" i="5" s="1"/>
  <c r="BC42" i="5" s="1"/>
  <c r="BF42" i="5" s="1"/>
  <c r="BI42" i="5" s="1"/>
  <c r="BL42" i="5" s="1"/>
  <c r="BO42" i="5" s="1"/>
  <c r="BR42" i="5" s="1"/>
  <c r="BU42" i="5" s="1"/>
  <c r="U42" i="5"/>
  <c r="P42" i="5"/>
  <c r="K42" i="5"/>
  <c r="H42" i="5"/>
  <c r="G42" i="5"/>
  <c r="D42" i="5"/>
  <c r="CY41" i="5"/>
  <c r="DB41" i="5" s="1"/>
  <c r="DE41" i="5" s="1"/>
  <c r="DH41" i="5" s="1"/>
  <c r="DK41" i="5"/>
  <c r="DN41" i="5" s="1"/>
  <c r="DQ41" i="5" s="1"/>
  <c r="DT41" i="5" s="1"/>
  <c r="DW41" i="5" s="1"/>
  <c r="DZ41" i="5" s="1"/>
  <c r="EC41" i="5" s="1"/>
  <c r="EF41" i="5" s="1"/>
  <c r="EI41" i="5" s="1"/>
  <c r="EL41" i="5" s="1"/>
  <c r="EO41" i="5" s="1"/>
  <c r="CO41" i="5"/>
  <c r="CJ41" i="5"/>
  <c r="CE41" i="5"/>
  <c r="CB41" i="5"/>
  <c r="CA41" i="5"/>
  <c r="BX41" i="5"/>
  <c r="AE41" i="5"/>
  <c r="AH41" i="5" s="1"/>
  <c r="AK41" i="5" s="1"/>
  <c r="AN41" i="5" s="1"/>
  <c r="AQ41" i="5" s="1"/>
  <c r="AT41" i="5" s="1"/>
  <c r="AW41" i="5" s="1"/>
  <c r="AZ41" i="5" s="1"/>
  <c r="BC41" i="5" s="1"/>
  <c r="BF41" i="5" s="1"/>
  <c r="BI41" i="5" s="1"/>
  <c r="BL41" i="5" s="1"/>
  <c r="BO41" i="5" s="1"/>
  <c r="BR41" i="5" s="1"/>
  <c r="BU41" i="5" s="1"/>
  <c r="S41" i="5"/>
  <c r="R41" i="5"/>
  <c r="K41" i="5"/>
  <c r="H41" i="5"/>
  <c r="G41" i="5"/>
  <c r="D41" i="5"/>
  <c r="CY40" i="5"/>
  <c r="DB40" i="5" s="1"/>
  <c r="DE40" i="5" s="1"/>
  <c r="DH40" i="5" s="1"/>
  <c r="DK40" i="5" s="1"/>
  <c r="DN40" i="5" s="1"/>
  <c r="DQ40" i="5" s="1"/>
  <c r="DT40" i="5" s="1"/>
  <c r="DW40" i="5" s="1"/>
  <c r="DZ40" i="5" s="1"/>
  <c r="EC40" i="5" s="1"/>
  <c r="EF40" i="5" s="1"/>
  <c r="EI40" i="5" s="1"/>
  <c r="EL40" i="5" s="1"/>
  <c r="EO40" i="5" s="1"/>
  <c r="CO40" i="5"/>
  <c r="CJ40" i="5"/>
  <c r="CE40" i="5"/>
  <c r="CB40" i="5"/>
  <c r="CA40" i="5"/>
  <c r="BX40" i="5"/>
  <c r="AE40" i="5"/>
  <c r="AH40" i="5" s="1"/>
  <c r="AK40" i="5" s="1"/>
  <c r="AN40" i="5" s="1"/>
  <c r="AQ40" i="5" s="1"/>
  <c r="AT40" i="5" s="1"/>
  <c r="AW40" i="5" s="1"/>
  <c r="AZ40" i="5" s="1"/>
  <c r="BC40" i="5" s="1"/>
  <c r="BF40" i="5" s="1"/>
  <c r="BI40" i="5" s="1"/>
  <c r="BL40" i="5" s="1"/>
  <c r="BO40" i="5" s="1"/>
  <c r="BR40" i="5" s="1"/>
  <c r="BU40" i="5" s="1"/>
  <c r="U40" i="5"/>
  <c r="P40" i="5"/>
  <c r="K40" i="5"/>
  <c r="H40" i="5"/>
  <c r="G40" i="5"/>
  <c r="D40" i="5"/>
  <c r="CY39" i="5"/>
  <c r="DB39" i="5" s="1"/>
  <c r="DE39" i="5" s="1"/>
  <c r="DH39" i="5" s="1"/>
  <c r="DK39" i="5" s="1"/>
  <c r="DN39" i="5"/>
  <c r="DQ39" i="5" s="1"/>
  <c r="DT39" i="5" s="1"/>
  <c r="DW39" i="5" s="1"/>
  <c r="DZ39" i="5" s="1"/>
  <c r="EC39" i="5" s="1"/>
  <c r="EF39" i="5" s="1"/>
  <c r="EI39" i="5" s="1"/>
  <c r="EL39" i="5" s="1"/>
  <c r="EO39" i="5" s="1"/>
  <c r="CO39" i="5"/>
  <c r="CJ39" i="5"/>
  <c r="CE39" i="5"/>
  <c r="CB39" i="5"/>
  <c r="CA39" i="5"/>
  <c r="BX39" i="5"/>
  <c r="AE39" i="5"/>
  <c r="AH39" i="5" s="1"/>
  <c r="AK39" i="5" s="1"/>
  <c r="AN39" i="5" s="1"/>
  <c r="AQ39" i="5" s="1"/>
  <c r="AT39" i="5" s="1"/>
  <c r="AW39" i="5" s="1"/>
  <c r="AZ39" i="5" s="1"/>
  <c r="BC39" i="5" s="1"/>
  <c r="BF39" i="5" s="1"/>
  <c r="BI39" i="5" s="1"/>
  <c r="BL39" i="5" s="1"/>
  <c r="BO39" i="5" s="1"/>
  <c r="BR39" i="5" s="1"/>
  <c r="BU39" i="5" s="1"/>
  <c r="U39" i="5"/>
  <c r="P39" i="5"/>
  <c r="K39" i="5"/>
  <c r="H39" i="5"/>
  <c r="G39" i="5"/>
  <c r="D39" i="5"/>
  <c r="CY38" i="5"/>
  <c r="DB38" i="5" s="1"/>
  <c r="DE38" i="5" s="1"/>
  <c r="DH38" i="5" s="1"/>
  <c r="DK38" i="5" s="1"/>
  <c r="DN38" i="5" s="1"/>
  <c r="DQ38" i="5" s="1"/>
  <c r="DT38" i="5" s="1"/>
  <c r="DW38" i="5" s="1"/>
  <c r="DZ38" i="5" s="1"/>
  <c r="EC38" i="5" s="1"/>
  <c r="EF38" i="5" s="1"/>
  <c r="EI38" i="5" s="1"/>
  <c r="EL38" i="5" s="1"/>
  <c r="EO38" i="5" s="1"/>
  <c r="CO38" i="5"/>
  <c r="CJ38" i="5"/>
  <c r="CE38" i="5"/>
  <c r="CB38" i="5"/>
  <c r="CA38" i="5"/>
  <c r="BX38" i="5"/>
  <c r="AE38" i="5"/>
  <c r="AH38" i="5"/>
  <c r="AK38" i="5" s="1"/>
  <c r="AN38" i="5" s="1"/>
  <c r="AQ38" i="5" s="1"/>
  <c r="AT38" i="5" s="1"/>
  <c r="AW38" i="5" s="1"/>
  <c r="AZ38" i="5" s="1"/>
  <c r="BC38" i="5" s="1"/>
  <c r="BF38" i="5" s="1"/>
  <c r="BI38" i="5" s="1"/>
  <c r="BL38" i="5" s="1"/>
  <c r="BO38" i="5" s="1"/>
  <c r="BR38" i="5" s="1"/>
  <c r="BU38" i="5" s="1"/>
  <c r="U38" i="5"/>
  <c r="P38" i="5"/>
  <c r="K38" i="5"/>
  <c r="H38" i="5"/>
  <c r="G38" i="5"/>
  <c r="D38" i="5"/>
  <c r="CY37" i="5"/>
  <c r="DB37" i="5"/>
  <c r="DE37" i="5" s="1"/>
  <c r="DH37" i="5" s="1"/>
  <c r="DK37" i="5" s="1"/>
  <c r="DN37" i="5" s="1"/>
  <c r="DQ37" i="5" s="1"/>
  <c r="DT37" i="5" s="1"/>
  <c r="DW37" i="5" s="1"/>
  <c r="DZ37" i="5" s="1"/>
  <c r="EC37" i="5" s="1"/>
  <c r="EF37" i="5" s="1"/>
  <c r="EI37" i="5" s="1"/>
  <c r="EL37" i="5" s="1"/>
  <c r="EO37" i="5" s="1"/>
  <c r="CO37" i="5"/>
  <c r="CJ37" i="5"/>
  <c r="CE37" i="5"/>
  <c r="CB37" i="5"/>
  <c r="CA37" i="5"/>
  <c r="BX37" i="5"/>
  <c r="AE37" i="5"/>
  <c r="AH37" i="5" s="1"/>
  <c r="AK37" i="5" s="1"/>
  <c r="AN37" i="5" s="1"/>
  <c r="AQ37" i="5" s="1"/>
  <c r="AT37" i="5"/>
  <c r="AW37" i="5" s="1"/>
  <c r="AZ37" i="5" s="1"/>
  <c r="BC37" i="5" s="1"/>
  <c r="BF37" i="5" s="1"/>
  <c r="BI37" i="5" s="1"/>
  <c r="BL37" i="5" s="1"/>
  <c r="BO37" i="5" s="1"/>
  <c r="BR37" i="5" s="1"/>
  <c r="BU37" i="5" s="1"/>
  <c r="S37" i="5"/>
  <c r="R37" i="5"/>
  <c r="K37" i="5"/>
  <c r="H37" i="5"/>
  <c r="G37" i="5"/>
  <c r="D37" i="5"/>
  <c r="CY36" i="5"/>
  <c r="DB36" i="5" s="1"/>
  <c r="DE36" i="5" s="1"/>
  <c r="DH36" i="5" s="1"/>
  <c r="DK36" i="5" s="1"/>
  <c r="DN36" i="5" s="1"/>
  <c r="DQ36" i="5" s="1"/>
  <c r="DT36" i="5" s="1"/>
  <c r="DW36" i="5" s="1"/>
  <c r="DZ36" i="5" s="1"/>
  <c r="EC36" i="5" s="1"/>
  <c r="EF36" i="5" s="1"/>
  <c r="EI36" i="5" s="1"/>
  <c r="EL36" i="5" s="1"/>
  <c r="EO36" i="5" s="1"/>
  <c r="CO36" i="5"/>
  <c r="CJ36" i="5"/>
  <c r="CE36" i="5"/>
  <c r="CB36" i="5"/>
  <c r="CA36" i="5"/>
  <c r="BX36" i="5"/>
  <c r="AE36" i="5"/>
  <c r="AH36" i="5" s="1"/>
  <c r="AK36" i="5" s="1"/>
  <c r="AN36" i="5" s="1"/>
  <c r="AQ36" i="5" s="1"/>
  <c r="AT36" i="5" s="1"/>
  <c r="AW36" i="5" s="1"/>
  <c r="AZ36" i="5" s="1"/>
  <c r="BC36" i="5" s="1"/>
  <c r="BF36" i="5" s="1"/>
  <c r="BI36" i="5" s="1"/>
  <c r="BL36" i="5" s="1"/>
  <c r="BO36" i="5" s="1"/>
  <c r="BR36" i="5" s="1"/>
  <c r="BU36" i="5" s="1"/>
  <c r="U36" i="5"/>
  <c r="P36" i="5"/>
  <c r="K36" i="5"/>
  <c r="H36" i="5"/>
  <c r="G36" i="5"/>
  <c r="D36" i="5"/>
  <c r="CY35" i="5"/>
  <c r="DB35" i="5" s="1"/>
  <c r="DE35" i="5" s="1"/>
  <c r="DH35" i="5" s="1"/>
  <c r="DK35" i="5" s="1"/>
  <c r="DN35" i="5" s="1"/>
  <c r="DQ35" i="5" s="1"/>
  <c r="DT35" i="5" s="1"/>
  <c r="DW35" i="5" s="1"/>
  <c r="DZ35" i="5" s="1"/>
  <c r="EC35" i="5" s="1"/>
  <c r="EF35" i="5" s="1"/>
  <c r="EI35" i="5" s="1"/>
  <c r="EL35" i="5" s="1"/>
  <c r="EO35" i="5" s="1"/>
  <c r="CO35" i="5"/>
  <c r="CJ35" i="5"/>
  <c r="CE35" i="5"/>
  <c r="CB35" i="5"/>
  <c r="CA35" i="5"/>
  <c r="BX35" i="5"/>
  <c r="AE35" i="5"/>
  <c r="AH35" i="5" s="1"/>
  <c r="AK35" i="5" s="1"/>
  <c r="AN35" i="5" s="1"/>
  <c r="AQ35" i="5" s="1"/>
  <c r="AT35" i="5" s="1"/>
  <c r="AW35" i="5" s="1"/>
  <c r="AZ35" i="5" s="1"/>
  <c r="BC35" i="5" s="1"/>
  <c r="BF35" i="5" s="1"/>
  <c r="BI35" i="5" s="1"/>
  <c r="BL35" i="5" s="1"/>
  <c r="BO35" i="5" s="1"/>
  <c r="BR35" i="5" s="1"/>
  <c r="BU35" i="5" s="1"/>
  <c r="U35" i="5"/>
  <c r="P35" i="5"/>
  <c r="K35" i="5"/>
  <c r="H35" i="5"/>
  <c r="G35" i="5"/>
  <c r="D35" i="5"/>
  <c r="CY34" i="5"/>
  <c r="DB34" i="5"/>
  <c r="DE34" i="5" s="1"/>
  <c r="DH34" i="5" s="1"/>
  <c r="DK34" i="5" s="1"/>
  <c r="DN34" i="5" s="1"/>
  <c r="DQ34" i="5" s="1"/>
  <c r="DT34" i="5" s="1"/>
  <c r="DW34" i="5" s="1"/>
  <c r="DZ34" i="5" s="1"/>
  <c r="EC34" i="5" s="1"/>
  <c r="EF34" i="5" s="1"/>
  <c r="EI34" i="5" s="1"/>
  <c r="EL34" i="5" s="1"/>
  <c r="EO34" i="5" s="1"/>
  <c r="CO34" i="5"/>
  <c r="CJ34" i="5"/>
  <c r="CE34" i="5"/>
  <c r="CB34" i="5"/>
  <c r="CA34" i="5"/>
  <c r="BX34" i="5"/>
  <c r="AE34" i="5"/>
  <c r="AH34" i="5"/>
  <c r="AK34" i="5" s="1"/>
  <c r="AN34" i="5" s="1"/>
  <c r="AQ34" i="5"/>
  <c r="AT34" i="5" s="1"/>
  <c r="AW34" i="5" s="1"/>
  <c r="AZ34" i="5" s="1"/>
  <c r="BC34" i="5" s="1"/>
  <c r="BF34" i="5" s="1"/>
  <c r="BI34" i="5" s="1"/>
  <c r="BL34" i="5" s="1"/>
  <c r="BO34" i="5" s="1"/>
  <c r="BR34" i="5" s="1"/>
  <c r="BU34" i="5" s="1"/>
  <c r="U34" i="5"/>
  <c r="P34" i="5"/>
  <c r="K34" i="5"/>
  <c r="H34" i="5"/>
  <c r="G34" i="5"/>
  <c r="D34" i="5"/>
  <c r="CY33" i="5"/>
  <c r="DB33" i="5" s="1"/>
  <c r="DE33" i="5" s="1"/>
  <c r="DH33" i="5" s="1"/>
  <c r="DK33" i="5" s="1"/>
  <c r="DN33" i="5" s="1"/>
  <c r="DQ33" i="5" s="1"/>
  <c r="DT33" i="5"/>
  <c r="DW33" i="5" s="1"/>
  <c r="DZ33" i="5" s="1"/>
  <c r="EC33" i="5" s="1"/>
  <c r="EF33" i="5" s="1"/>
  <c r="EI33" i="5" s="1"/>
  <c r="EL33" i="5" s="1"/>
  <c r="EO33" i="5" s="1"/>
  <c r="CO33" i="5"/>
  <c r="CJ33" i="5"/>
  <c r="CE33" i="5"/>
  <c r="CB33" i="5"/>
  <c r="CA33" i="5"/>
  <c r="BX33" i="5"/>
  <c r="AE33" i="5"/>
  <c r="AH33" i="5" s="1"/>
  <c r="AK33" i="5" s="1"/>
  <c r="AN33" i="5" s="1"/>
  <c r="AQ33" i="5" s="1"/>
  <c r="AT33" i="5" s="1"/>
  <c r="AW33" i="5" s="1"/>
  <c r="AZ33" i="5" s="1"/>
  <c r="BC33" i="5" s="1"/>
  <c r="BF33" i="5" s="1"/>
  <c r="BI33" i="5" s="1"/>
  <c r="BL33" i="5" s="1"/>
  <c r="BO33" i="5" s="1"/>
  <c r="BR33" i="5" s="1"/>
  <c r="BU33" i="5" s="1"/>
  <c r="U33" i="5"/>
  <c r="P33" i="5"/>
  <c r="K33" i="5"/>
  <c r="H33" i="5"/>
  <c r="G33" i="5"/>
  <c r="D33" i="5"/>
  <c r="CY32" i="5"/>
  <c r="DB32" i="5" s="1"/>
  <c r="DE32" i="5" s="1"/>
  <c r="DH32" i="5" s="1"/>
  <c r="DK32" i="5" s="1"/>
  <c r="DN32" i="5" s="1"/>
  <c r="DQ32" i="5"/>
  <c r="DT32" i="5" s="1"/>
  <c r="DW32" i="5" s="1"/>
  <c r="DZ32" i="5" s="1"/>
  <c r="EC32" i="5" s="1"/>
  <c r="EF32" i="5" s="1"/>
  <c r="EI32" i="5" s="1"/>
  <c r="EL32" i="5" s="1"/>
  <c r="EO32" i="5" s="1"/>
  <c r="CO32" i="5"/>
  <c r="CJ32" i="5"/>
  <c r="CE32" i="5"/>
  <c r="CB32" i="5"/>
  <c r="CA32" i="5"/>
  <c r="BX32" i="5"/>
  <c r="AE32" i="5"/>
  <c r="AH32" i="5" s="1"/>
  <c r="AK32" i="5" s="1"/>
  <c r="AN32" i="5" s="1"/>
  <c r="AQ32" i="5" s="1"/>
  <c r="AT32" i="5" s="1"/>
  <c r="AW32" i="5" s="1"/>
  <c r="AZ32" i="5" s="1"/>
  <c r="BC32" i="5" s="1"/>
  <c r="BF32" i="5" s="1"/>
  <c r="BI32" i="5" s="1"/>
  <c r="BL32" i="5" s="1"/>
  <c r="BO32" i="5" s="1"/>
  <c r="BR32" i="5" s="1"/>
  <c r="BU32" i="5" s="1"/>
  <c r="U32" i="5"/>
  <c r="P32" i="5"/>
  <c r="K32" i="5"/>
  <c r="H32" i="5"/>
  <c r="G32" i="5"/>
  <c r="D32" i="5"/>
  <c r="CY31" i="5"/>
  <c r="DB31" i="5" s="1"/>
  <c r="DE31" i="5" s="1"/>
  <c r="DH31" i="5" s="1"/>
  <c r="DK31" i="5" s="1"/>
  <c r="DN31" i="5" s="1"/>
  <c r="DQ31" i="5" s="1"/>
  <c r="DT31" i="5" s="1"/>
  <c r="DW31" i="5" s="1"/>
  <c r="DZ31" i="5" s="1"/>
  <c r="EC31" i="5" s="1"/>
  <c r="EF31" i="5" s="1"/>
  <c r="EI31" i="5" s="1"/>
  <c r="EL31" i="5" s="1"/>
  <c r="EO31" i="5" s="1"/>
  <c r="CO31" i="5"/>
  <c r="CJ31" i="5"/>
  <c r="CE31" i="5"/>
  <c r="CB31" i="5"/>
  <c r="CA31" i="5"/>
  <c r="BX31" i="5"/>
  <c r="AE31" i="5"/>
  <c r="AH31" i="5"/>
  <c r="AK31" i="5" s="1"/>
  <c r="AN31" i="5" s="1"/>
  <c r="AQ31" i="5" s="1"/>
  <c r="AT31" i="5" s="1"/>
  <c r="AW31" i="5"/>
  <c r="AZ31" i="5" s="1"/>
  <c r="BC31" i="5" s="1"/>
  <c r="BF31" i="5" s="1"/>
  <c r="BI31" i="5" s="1"/>
  <c r="BL31" i="5" s="1"/>
  <c r="BO31" i="5" s="1"/>
  <c r="BR31" i="5" s="1"/>
  <c r="BU31" i="5" s="1"/>
  <c r="U31" i="5"/>
  <c r="P31" i="5"/>
  <c r="K31" i="5"/>
  <c r="H31" i="5"/>
  <c r="G31" i="5"/>
  <c r="D31" i="5"/>
  <c r="CY30" i="5"/>
  <c r="DB30" i="5"/>
  <c r="DE30" i="5"/>
  <c r="DH30" i="5" s="1"/>
  <c r="DK30" i="5" s="1"/>
  <c r="DN30" i="5" s="1"/>
  <c r="DQ30" i="5" s="1"/>
  <c r="DT30" i="5" s="1"/>
  <c r="DW30" i="5" s="1"/>
  <c r="DZ30" i="5" s="1"/>
  <c r="EC30" i="5" s="1"/>
  <c r="EF30" i="5" s="1"/>
  <c r="EI30" i="5" s="1"/>
  <c r="EL30" i="5" s="1"/>
  <c r="EO30" i="5" s="1"/>
  <c r="CO30" i="5"/>
  <c r="CJ30" i="5"/>
  <c r="CE30" i="5"/>
  <c r="CB30" i="5"/>
  <c r="CA30" i="5"/>
  <c r="BX30" i="5"/>
  <c r="AE30" i="5"/>
  <c r="AH30" i="5" s="1"/>
  <c r="AK30" i="5" s="1"/>
  <c r="AN30" i="5" s="1"/>
  <c r="AQ30" i="5" s="1"/>
  <c r="AT30" i="5" s="1"/>
  <c r="AW30" i="5" s="1"/>
  <c r="AZ30" i="5" s="1"/>
  <c r="BC30" i="5" s="1"/>
  <c r="BF30" i="5" s="1"/>
  <c r="BI30" i="5" s="1"/>
  <c r="BL30" i="5" s="1"/>
  <c r="BO30" i="5" s="1"/>
  <c r="BR30" i="5"/>
  <c r="BU30" i="5" s="1"/>
  <c r="U30" i="5"/>
  <c r="P30" i="5"/>
  <c r="K30" i="5"/>
  <c r="H30" i="5"/>
  <c r="G30" i="5"/>
  <c r="D30" i="5"/>
  <c r="CY29" i="5"/>
  <c r="DB29" i="5" s="1"/>
  <c r="DE29" i="5" s="1"/>
  <c r="DH29" i="5" s="1"/>
  <c r="DK29" i="5" s="1"/>
  <c r="DN29" i="5" s="1"/>
  <c r="DQ29" i="5" s="1"/>
  <c r="DT29" i="5"/>
  <c r="DW29" i="5"/>
  <c r="DZ29" i="5" s="1"/>
  <c r="EC29" i="5" s="1"/>
  <c r="EF29" i="5" s="1"/>
  <c r="EI29" i="5" s="1"/>
  <c r="EL29" i="5" s="1"/>
  <c r="EO29" i="5" s="1"/>
  <c r="CO29" i="5"/>
  <c r="CJ29" i="5"/>
  <c r="CE29" i="5"/>
  <c r="CB29" i="5"/>
  <c r="CA29" i="5"/>
  <c r="BX29" i="5"/>
  <c r="AE29" i="5"/>
  <c r="AH29" i="5" s="1"/>
  <c r="AK29" i="5"/>
  <c r="AN29" i="5" s="1"/>
  <c r="AQ29" i="5" s="1"/>
  <c r="AT29" i="5" s="1"/>
  <c r="AW29" i="5" s="1"/>
  <c r="AZ29" i="5" s="1"/>
  <c r="BC29" i="5" s="1"/>
  <c r="BF29" i="5" s="1"/>
  <c r="BI29" i="5" s="1"/>
  <c r="BL29" i="5" s="1"/>
  <c r="BO29" i="5" s="1"/>
  <c r="BR29" i="5" s="1"/>
  <c r="BU29" i="5" s="1"/>
  <c r="U29" i="5"/>
  <c r="P29" i="5"/>
  <c r="K29" i="5"/>
  <c r="H29" i="5"/>
  <c r="G29" i="5"/>
  <c r="D29" i="5"/>
  <c r="CJ28" i="5"/>
  <c r="CE28" i="5"/>
  <c r="CB28" i="5"/>
  <c r="CA28" i="5"/>
  <c r="BX28" i="5"/>
  <c r="AE28" i="5"/>
  <c r="AH28" i="5" s="1"/>
  <c r="AK28" i="5" s="1"/>
  <c r="AN28" i="5" s="1"/>
  <c r="AQ28" i="5" s="1"/>
  <c r="AT28" i="5" s="1"/>
  <c r="AW28" i="5" s="1"/>
  <c r="AZ28" i="5" s="1"/>
  <c r="BC28" i="5" s="1"/>
  <c r="BF28" i="5" s="1"/>
  <c r="BI28" i="5" s="1"/>
  <c r="BL28" i="5" s="1"/>
  <c r="BO28" i="5" s="1"/>
  <c r="BR28" i="5" s="1"/>
  <c r="BU28" i="5" s="1"/>
  <c r="U28" i="5"/>
  <c r="S28" i="5"/>
  <c r="R28" i="5"/>
  <c r="K28" i="5"/>
  <c r="H28" i="5"/>
  <c r="G28" i="5"/>
  <c r="D28" i="5"/>
  <c r="CY27" i="5"/>
  <c r="DB27" i="5"/>
  <c r="DE27" i="5" s="1"/>
  <c r="DH27" i="5" s="1"/>
  <c r="DK27" i="5" s="1"/>
  <c r="DN27" i="5" s="1"/>
  <c r="DQ27" i="5" s="1"/>
  <c r="DT27" i="5" s="1"/>
  <c r="DW27" i="5" s="1"/>
  <c r="DZ27" i="5" s="1"/>
  <c r="EC27" i="5" s="1"/>
  <c r="EF27" i="5" s="1"/>
  <c r="EI27" i="5" s="1"/>
  <c r="EL27" i="5" s="1"/>
  <c r="EO27" i="5" s="1"/>
  <c r="CO27" i="5"/>
  <c r="CJ27" i="5"/>
  <c r="CE27" i="5"/>
  <c r="CB27" i="5"/>
  <c r="CA27" i="5"/>
  <c r="BX27" i="5"/>
  <c r="AE27" i="5"/>
  <c r="AH27" i="5" s="1"/>
  <c r="AK27" i="5" s="1"/>
  <c r="AN27" i="5" s="1"/>
  <c r="AQ27" i="5"/>
  <c r="AT27" i="5" s="1"/>
  <c r="AW27" i="5" s="1"/>
  <c r="AZ27" i="5" s="1"/>
  <c r="BC27" i="5" s="1"/>
  <c r="BF27" i="5" s="1"/>
  <c r="BI27" i="5" s="1"/>
  <c r="BL27" i="5" s="1"/>
  <c r="BO27" i="5" s="1"/>
  <c r="BR27" i="5" s="1"/>
  <c r="BU27" i="5" s="1"/>
  <c r="U27" i="5"/>
  <c r="P27" i="5"/>
  <c r="K27" i="5"/>
  <c r="H27" i="5"/>
  <c r="G27" i="5"/>
  <c r="D27" i="5"/>
  <c r="CY26" i="5"/>
  <c r="DB26" i="5" s="1"/>
  <c r="DE26" i="5" s="1"/>
  <c r="DH26" i="5" s="1"/>
  <c r="DK26" i="5" s="1"/>
  <c r="DN26" i="5" s="1"/>
  <c r="DQ26" i="5" s="1"/>
  <c r="DT26" i="5" s="1"/>
  <c r="DW26" i="5" s="1"/>
  <c r="DZ26" i="5" s="1"/>
  <c r="EC26" i="5" s="1"/>
  <c r="EF26" i="5" s="1"/>
  <c r="EI26" i="5" s="1"/>
  <c r="EL26" i="5" s="1"/>
  <c r="EO26" i="5" s="1"/>
  <c r="CO26" i="5"/>
  <c r="CJ26" i="5"/>
  <c r="CE26" i="5"/>
  <c r="CB26" i="5"/>
  <c r="CA26" i="5"/>
  <c r="BX26" i="5"/>
  <c r="AE26" i="5"/>
  <c r="AH26" i="5"/>
  <c r="AK26" i="5"/>
  <c r="AN26" i="5" s="1"/>
  <c r="AQ26" i="5" s="1"/>
  <c r="AT26" i="5" s="1"/>
  <c r="AW26" i="5" s="1"/>
  <c r="AZ26" i="5" s="1"/>
  <c r="BC26" i="5" s="1"/>
  <c r="BF26" i="5" s="1"/>
  <c r="BI26" i="5" s="1"/>
  <c r="BL26" i="5" s="1"/>
  <c r="BO26" i="5" s="1"/>
  <c r="BR26" i="5" s="1"/>
  <c r="BU26" i="5" s="1"/>
  <c r="U26" i="5"/>
  <c r="P26" i="5"/>
  <c r="K26" i="5"/>
  <c r="H26" i="5"/>
  <c r="G26" i="5"/>
  <c r="D26" i="5"/>
  <c r="CY25" i="5"/>
  <c r="DB25" i="5" s="1"/>
  <c r="DE25" i="5" s="1"/>
  <c r="DH25" i="5" s="1"/>
  <c r="DK25" i="5" s="1"/>
  <c r="DN25" i="5"/>
  <c r="DQ25" i="5" s="1"/>
  <c r="DT25" i="5" s="1"/>
  <c r="DW25" i="5" s="1"/>
  <c r="DZ25" i="5" s="1"/>
  <c r="EC25" i="5" s="1"/>
  <c r="EF25" i="5" s="1"/>
  <c r="EI25" i="5" s="1"/>
  <c r="EL25" i="5" s="1"/>
  <c r="EO25" i="5" s="1"/>
  <c r="CJ25" i="5"/>
  <c r="CE25" i="5"/>
  <c r="CB25" i="5"/>
  <c r="CA25" i="5"/>
  <c r="BX25" i="5"/>
  <c r="AE25" i="5"/>
  <c r="AH25" i="5" s="1"/>
  <c r="AK25" i="5" s="1"/>
  <c r="AN25" i="5" s="1"/>
  <c r="AQ25" i="5" s="1"/>
  <c r="AT25" i="5" s="1"/>
  <c r="AW25" i="5" s="1"/>
  <c r="AZ25" i="5" s="1"/>
  <c r="BC25" i="5" s="1"/>
  <c r="BF25" i="5" s="1"/>
  <c r="BI25" i="5" s="1"/>
  <c r="BL25" i="5" s="1"/>
  <c r="BO25" i="5" s="1"/>
  <c r="BR25" i="5" s="1"/>
  <c r="BU25" i="5" s="1"/>
  <c r="P25" i="5"/>
  <c r="K25" i="5"/>
  <c r="H25" i="5"/>
  <c r="G25" i="5"/>
  <c r="D25" i="5"/>
  <c r="CJ24" i="5"/>
  <c r="CE24" i="5"/>
  <c r="CD24" i="5"/>
  <c r="CC24" i="5"/>
  <c r="CB24" i="5"/>
  <c r="CA24" i="5"/>
  <c r="BZ24" i="5"/>
  <c r="BY24" i="5"/>
  <c r="BX24" i="5"/>
  <c r="AE24" i="5"/>
  <c r="AH24" i="5" s="1"/>
  <c r="AK24" i="5" s="1"/>
  <c r="AN24" i="5"/>
  <c r="AQ24" i="5"/>
  <c r="AT24" i="5" s="1"/>
  <c r="AW24" i="5" s="1"/>
  <c r="AZ24" i="5" s="1"/>
  <c r="BC24" i="5" s="1"/>
  <c r="BF24" i="5" s="1"/>
  <c r="BI24" i="5" s="1"/>
  <c r="BL24" i="5"/>
  <c r="BO24" i="5" s="1"/>
  <c r="BR24" i="5" s="1"/>
  <c r="BU24" i="5" s="1"/>
  <c r="K24" i="5"/>
  <c r="H24" i="5"/>
  <c r="G24" i="5"/>
  <c r="D24" i="5"/>
  <c r="CY23" i="5"/>
  <c r="DB23" i="5"/>
  <c r="DE23" i="5" s="1"/>
  <c r="DH23" i="5" s="1"/>
  <c r="DK23" i="5" s="1"/>
  <c r="DN23" i="5" s="1"/>
  <c r="DQ23" i="5"/>
  <c r="DT23" i="5" s="1"/>
  <c r="DW23" i="5" s="1"/>
  <c r="DZ23" i="5" s="1"/>
  <c r="EC23" i="5" s="1"/>
  <c r="EF23" i="5" s="1"/>
  <c r="EI23" i="5" s="1"/>
  <c r="EL23" i="5" s="1"/>
  <c r="EO23" i="5" s="1"/>
  <c r="CO23" i="5"/>
  <c r="CJ23" i="5"/>
  <c r="CE23" i="5"/>
  <c r="CD23" i="5"/>
  <c r="CC23" i="5"/>
  <c r="CB23" i="5"/>
  <c r="CA23" i="5"/>
  <c r="BZ23" i="5"/>
  <c r="BY23" i="5"/>
  <c r="BX23" i="5"/>
  <c r="AE23" i="5"/>
  <c r="AH23" i="5" s="1"/>
  <c r="AK23" i="5" s="1"/>
  <c r="AN23" i="5" s="1"/>
  <c r="AQ23" i="5" s="1"/>
  <c r="AT23" i="5" s="1"/>
  <c r="AW23" i="5" s="1"/>
  <c r="AZ23" i="5" s="1"/>
  <c r="BC23" i="5" s="1"/>
  <c r="BF23" i="5" s="1"/>
  <c r="BI23" i="5" s="1"/>
  <c r="BL23" i="5" s="1"/>
  <c r="BO23" i="5" s="1"/>
  <c r="BR23" i="5" s="1"/>
  <c r="BU23" i="5" s="1"/>
  <c r="U23" i="5"/>
  <c r="P23" i="5"/>
  <c r="K23" i="5"/>
  <c r="H23" i="5"/>
  <c r="G23" i="5"/>
  <c r="D23" i="5"/>
  <c r="CY22" i="5"/>
  <c r="DB22" i="5" s="1"/>
  <c r="DE22" i="5" s="1"/>
  <c r="DH22" i="5" s="1"/>
  <c r="DK22" i="5" s="1"/>
  <c r="DN22" i="5" s="1"/>
  <c r="DQ22" i="5" s="1"/>
  <c r="DT22" i="5" s="1"/>
  <c r="DW22" i="5" s="1"/>
  <c r="DZ22" i="5" s="1"/>
  <c r="EC22" i="5" s="1"/>
  <c r="EF22" i="5" s="1"/>
  <c r="EI22" i="5" s="1"/>
  <c r="EL22" i="5" s="1"/>
  <c r="EO22" i="5" s="1"/>
  <c r="CE22" i="5"/>
  <c r="CD22" i="5"/>
  <c r="CC22" i="5"/>
  <c r="CB22" i="5"/>
  <c r="CA22" i="5"/>
  <c r="BZ22" i="5"/>
  <c r="BY22" i="5"/>
  <c r="BX22" i="5"/>
  <c r="AE22" i="5"/>
  <c r="AH22" i="5"/>
  <c r="AK22" i="5" s="1"/>
  <c r="AN22" i="5" s="1"/>
  <c r="AQ22" i="5" s="1"/>
  <c r="AT22" i="5" s="1"/>
  <c r="AW22" i="5" s="1"/>
  <c r="AZ22" i="5" s="1"/>
  <c r="BC22" i="5" s="1"/>
  <c r="BF22" i="5" s="1"/>
  <c r="BI22" i="5" s="1"/>
  <c r="BL22" i="5" s="1"/>
  <c r="BO22" i="5" s="1"/>
  <c r="BR22" i="5" s="1"/>
  <c r="BU22" i="5" s="1"/>
  <c r="K22" i="5"/>
  <c r="H22" i="5"/>
  <c r="G22" i="5"/>
  <c r="D22" i="5"/>
  <c r="CY21" i="5"/>
  <c r="DB21" i="5"/>
  <c r="DE21" i="5" s="1"/>
  <c r="DH21" i="5" s="1"/>
  <c r="DK21" i="5" s="1"/>
  <c r="DN21" i="5" s="1"/>
  <c r="DQ21" i="5"/>
  <c r="DT21" i="5"/>
  <c r="DW21" i="5" s="1"/>
  <c r="DZ21" i="5" s="1"/>
  <c r="EC21" i="5" s="1"/>
  <c r="EF21" i="5" s="1"/>
  <c r="EI21" i="5" s="1"/>
  <c r="EL21" i="5" s="1"/>
  <c r="EO21" i="5" s="1"/>
  <c r="CE21" i="5"/>
  <c r="CD21" i="5"/>
  <c r="CC21" i="5"/>
  <c r="CB21" i="5"/>
  <c r="CA21" i="5"/>
  <c r="BZ21" i="5"/>
  <c r="BY21" i="5"/>
  <c r="BX21" i="5"/>
  <c r="AE21" i="5"/>
  <c r="AH21" i="5" s="1"/>
  <c r="AK21" i="5" s="1"/>
  <c r="AN21" i="5" s="1"/>
  <c r="AQ21" i="5" s="1"/>
  <c r="AT21" i="5" s="1"/>
  <c r="AW21" i="5" s="1"/>
  <c r="AZ21" i="5" s="1"/>
  <c r="BC21" i="5" s="1"/>
  <c r="BF21" i="5" s="1"/>
  <c r="BI21" i="5" s="1"/>
  <c r="BL21" i="5" s="1"/>
  <c r="BO21" i="5" s="1"/>
  <c r="BR21" i="5" s="1"/>
  <c r="BU21" i="5" s="1"/>
  <c r="K21" i="5"/>
  <c r="H21" i="5"/>
  <c r="G21" i="5"/>
  <c r="D21" i="5"/>
  <c r="CY20" i="5"/>
  <c r="DB20" i="5" s="1"/>
  <c r="DE20" i="5" s="1"/>
  <c r="DH20" i="5" s="1"/>
  <c r="DK20" i="5"/>
  <c r="DN20" i="5" s="1"/>
  <c r="DQ20" i="5" s="1"/>
  <c r="DT20" i="5" s="1"/>
  <c r="DW20" i="5" s="1"/>
  <c r="DZ20" i="5" s="1"/>
  <c r="EC20" i="5" s="1"/>
  <c r="EF20" i="5" s="1"/>
  <c r="EI20" i="5" s="1"/>
  <c r="EL20" i="5" s="1"/>
  <c r="EO20" i="5" s="1"/>
  <c r="CE20" i="5"/>
  <c r="CD20" i="5"/>
  <c r="CC20" i="5"/>
  <c r="CB20" i="5"/>
  <c r="CA20" i="5"/>
  <c r="BZ20" i="5"/>
  <c r="BY20" i="5"/>
  <c r="BX20" i="5"/>
  <c r="AE20" i="5"/>
  <c r="AH20" i="5" s="1"/>
  <c r="AK20" i="5" s="1"/>
  <c r="AN20" i="5" s="1"/>
  <c r="AQ20" i="5" s="1"/>
  <c r="AT20" i="5"/>
  <c r="AW20" i="5"/>
  <c r="AZ20" i="5" s="1"/>
  <c r="BC20" i="5" s="1"/>
  <c r="BF20" i="5" s="1"/>
  <c r="BI20" i="5" s="1"/>
  <c r="BL20" i="5" s="1"/>
  <c r="BO20" i="5" s="1"/>
  <c r="BR20" i="5" s="1"/>
  <c r="BU20" i="5" s="1"/>
  <c r="K20" i="5"/>
  <c r="H20" i="5"/>
  <c r="G20" i="5"/>
  <c r="D20" i="5"/>
  <c r="CY19" i="5"/>
  <c r="DB19" i="5" s="1"/>
  <c r="DE19" i="5"/>
  <c r="DH19" i="5" s="1"/>
  <c r="DK19" i="5" s="1"/>
  <c r="DN19" i="5" s="1"/>
  <c r="DQ19" i="5" s="1"/>
  <c r="DT19" i="5" s="1"/>
  <c r="DW19" i="5" s="1"/>
  <c r="DZ19" i="5" s="1"/>
  <c r="EC19" i="5" s="1"/>
  <c r="EF19" i="5" s="1"/>
  <c r="EI19" i="5" s="1"/>
  <c r="EL19" i="5" s="1"/>
  <c r="EO19" i="5" s="1"/>
  <c r="CO19" i="5"/>
  <c r="CJ19" i="5"/>
  <c r="CE19" i="5"/>
  <c r="CD19" i="5"/>
  <c r="CC19" i="5"/>
  <c r="CB19" i="5"/>
  <c r="CA19" i="5"/>
  <c r="BZ19" i="5"/>
  <c r="BY19" i="5"/>
  <c r="BX19" i="5"/>
  <c r="AE19" i="5"/>
  <c r="AH19" i="5"/>
  <c r="AK19" i="5"/>
  <c r="AN19" i="5" s="1"/>
  <c r="AQ19" i="5" s="1"/>
  <c r="AT19" i="5" s="1"/>
  <c r="AW19" i="5" s="1"/>
  <c r="AZ19" i="5" s="1"/>
  <c r="BC19" i="5" s="1"/>
  <c r="BF19" i="5" s="1"/>
  <c r="BI19" i="5" s="1"/>
  <c r="BL19" i="5" s="1"/>
  <c r="BO19" i="5" s="1"/>
  <c r="BR19" i="5" s="1"/>
  <c r="BU19" i="5" s="1"/>
  <c r="U19" i="5"/>
  <c r="P19" i="5"/>
  <c r="K19" i="5"/>
  <c r="H19" i="5"/>
  <c r="G19" i="5"/>
  <c r="D19" i="5"/>
  <c r="CY18" i="5"/>
  <c r="DB18" i="5" s="1"/>
  <c r="DE18" i="5" s="1"/>
  <c r="DH18" i="5" s="1"/>
  <c r="DK18" i="5"/>
  <c r="DN18" i="5" s="1"/>
  <c r="DQ18" i="5" s="1"/>
  <c r="DT18" i="5" s="1"/>
  <c r="DW18" i="5" s="1"/>
  <c r="DZ18" i="5" s="1"/>
  <c r="EC18" i="5" s="1"/>
  <c r="EF18" i="5" s="1"/>
  <c r="EI18" i="5" s="1"/>
  <c r="EL18" i="5" s="1"/>
  <c r="EO18" i="5" s="1"/>
  <c r="CO18" i="5"/>
  <c r="CJ18" i="5"/>
  <c r="CE18" i="5"/>
  <c r="CD18" i="5"/>
  <c r="CC18" i="5"/>
  <c r="CB18" i="5"/>
  <c r="CA18" i="5"/>
  <c r="BZ18" i="5"/>
  <c r="BY18" i="5"/>
  <c r="BX18" i="5"/>
  <c r="AE18" i="5"/>
  <c r="AH18" i="5"/>
  <c r="AK18" i="5" s="1"/>
  <c r="AN18" i="5"/>
  <c r="AQ18" i="5" s="1"/>
  <c r="AT18" i="5" s="1"/>
  <c r="AW18" i="5" s="1"/>
  <c r="AZ18" i="5" s="1"/>
  <c r="BC18" i="5" s="1"/>
  <c r="BF18" i="5" s="1"/>
  <c r="BI18" i="5" s="1"/>
  <c r="BL18" i="5" s="1"/>
  <c r="BO18" i="5" s="1"/>
  <c r="BR18" i="5" s="1"/>
  <c r="BU18" i="5" s="1"/>
  <c r="U18" i="5"/>
  <c r="P18" i="5"/>
  <c r="K18" i="5"/>
  <c r="H18" i="5"/>
  <c r="G18" i="5"/>
  <c r="D18" i="5"/>
  <c r="CY17" i="5"/>
  <c r="DB17" i="5"/>
  <c r="DE17" i="5" s="1"/>
  <c r="DH17" i="5" s="1"/>
  <c r="DK17" i="5" s="1"/>
  <c r="DN17" i="5" s="1"/>
  <c r="DQ17" i="5" s="1"/>
  <c r="DT17" i="5" s="1"/>
  <c r="DW17" i="5" s="1"/>
  <c r="DZ17" i="5" s="1"/>
  <c r="EC17" i="5" s="1"/>
  <c r="EF17" i="5" s="1"/>
  <c r="EI17" i="5" s="1"/>
  <c r="EL17" i="5" s="1"/>
  <c r="EO17" i="5" s="1"/>
  <c r="CO17" i="5"/>
  <c r="CJ17" i="5"/>
  <c r="CE17" i="5"/>
  <c r="CD17" i="5"/>
  <c r="CC17" i="5"/>
  <c r="CB17" i="5"/>
  <c r="CA17" i="5"/>
  <c r="BZ17" i="5"/>
  <c r="BY17" i="5"/>
  <c r="BX17" i="5"/>
  <c r="AE17" i="5"/>
  <c r="AH17" i="5" s="1"/>
  <c r="AK17" i="5" s="1"/>
  <c r="AN17" i="5" s="1"/>
  <c r="AQ17" i="5" s="1"/>
  <c r="AT17" i="5"/>
  <c r="AW17" i="5" s="1"/>
  <c r="AZ17" i="5" s="1"/>
  <c r="BC17" i="5" s="1"/>
  <c r="BF17" i="5" s="1"/>
  <c r="BI17" i="5" s="1"/>
  <c r="BL17" i="5" s="1"/>
  <c r="BO17" i="5" s="1"/>
  <c r="BR17" i="5" s="1"/>
  <c r="BU17" i="5" s="1"/>
  <c r="U17" i="5"/>
  <c r="P17" i="5"/>
  <c r="K17" i="5"/>
  <c r="H17" i="5"/>
  <c r="G17" i="5"/>
  <c r="D17" i="5"/>
  <c r="CY16" i="5"/>
  <c r="DB16" i="5"/>
  <c r="DE16" i="5" s="1"/>
  <c r="DH16" i="5" s="1"/>
  <c r="DK16" i="5" s="1"/>
  <c r="DN16" i="5" s="1"/>
  <c r="DQ16" i="5" s="1"/>
  <c r="DT16" i="5" s="1"/>
  <c r="DW16" i="5"/>
  <c r="DZ16" i="5" s="1"/>
  <c r="EC16" i="5" s="1"/>
  <c r="EF16" i="5" s="1"/>
  <c r="EI16" i="5" s="1"/>
  <c r="EL16" i="5" s="1"/>
  <c r="EO16" i="5" s="1"/>
  <c r="CO16" i="5"/>
  <c r="CJ16" i="5"/>
  <c r="CE16" i="5"/>
  <c r="CD16" i="5"/>
  <c r="CC16" i="5"/>
  <c r="CB16" i="5"/>
  <c r="CA16" i="5"/>
  <c r="BZ16" i="5"/>
  <c r="BY16" i="5"/>
  <c r="BX16" i="5"/>
  <c r="AE16" i="5"/>
  <c r="AH16" i="5" s="1"/>
  <c r="AK16" i="5" s="1"/>
  <c r="AN16" i="5" s="1"/>
  <c r="AQ16" i="5" s="1"/>
  <c r="AT16" i="5" s="1"/>
  <c r="AW16" i="5" s="1"/>
  <c r="AZ16" i="5" s="1"/>
  <c r="BC16" i="5" s="1"/>
  <c r="BF16" i="5" s="1"/>
  <c r="BI16" i="5" s="1"/>
  <c r="BL16" i="5" s="1"/>
  <c r="BO16" i="5" s="1"/>
  <c r="BR16" i="5" s="1"/>
  <c r="BU16" i="5" s="1"/>
  <c r="U16" i="5"/>
  <c r="P16" i="5"/>
  <c r="K16" i="5"/>
  <c r="H16" i="5"/>
  <c r="G16" i="5"/>
  <c r="D16" i="5"/>
  <c r="CY15" i="5"/>
  <c r="DB15" i="5" s="1"/>
  <c r="DE15" i="5" s="1"/>
  <c r="DH15" i="5" s="1"/>
  <c r="DK15" i="5" s="1"/>
  <c r="DN15" i="5" s="1"/>
  <c r="DQ15" i="5" s="1"/>
  <c r="DT15" i="5" s="1"/>
  <c r="DW15" i="5" s="1"/>
  <c r="DZ15" i="5" s="1"/>
  <c r="EC15" i="5" s="1"/>
  <c r="EF15" i="5" s="1"/>
  <c r="EI15" i="5" s="1"/>
  <c r="EL15" i="5" s="1"/>
  <c r="EO15" i="5" s="1"/>
  <c r="CO15" i="5"/>
  <c r="CJ15" i="5"/>
  <c r="CE15" i="5"/>
  <c r="CD15" i="5"/>
  <c r="CC15" i="5"/>
  <c r="CB15" i="5"/>
  <c r="CA15" i="5"/>
  <c r="BZ15" i="5"/>
  <c r="BY15" i="5"/>
  <c r="BX15" i="5"/>
  <c r="AE15" i="5"/>
  <c r="AH15" i="5"/>
  <c r="AK15" i="5" s="1"/>
  <c r="AN15" i="5" s="1"/>
  <c r="AQ15" i="5" s="1"/>
  <c r="AT15" i="5" s="1"/>
  <c r="AW15" i="5" s="1"/>
  <c r="AZ15" i="5" s="1"/>
  <c r="BC15" i="5" s="1"/>
  <c r="BF15" i="5" s="1"/>
  <c r="BI15" i="5" s="1"/>
  <c r="BL15" i="5" s="1"/>
  <c r="BO15" i="5" s="1"/>
  <c r="BR15" i="5" s="1"/>
  <c r="BU15" i="5" s="1"/>
  <c r="U15" i="5"/>
  <c r="P15" i="5"/>
  <c r="K15" i="5"/>
  <c r="H15" i="5"/>
  <c r="G15" i="5"/>
  <c r="D15" i="5"/>
  <c r="CY14" i="5"/>
  <c r="DB14" i="5" s="1"/>
  <c r="DE14" i="5" s="1"/>
  <c r="DH14" i="5" s="1"/>
  <c r="DK14" i="5"/>
  <c r="DN14" i="5" s="1"/>
  <c r="DQ14" i="5" s="1"/>
  <c r="DT14" i="5" s="1"/>
  <c r="DW14" i="5" s="1"/>
  <c r="DZ14" i="5" s="1"/>
  <c r="EC14" i="5" s="1"/>
  <c r="EF14" i="5" s="1"/>
  <c r="EI14" i="5" s="1"/>
  <c r="EL14" i="5" s="1"/>
  <c r="EO14" i="5" s="1"/>
  <c r="CO14" i="5"/>
  <c r="CJ14" i="5"/>
  <c r="CE14" i="5"/>
  <c r="CD14" i="5"/>
  <c r="CC14" i="5"/>
  <c r="CB14" i="5"/>
  <c r="CA14" i="5"/>
  <c r="BZ14" i="5"/>
  <c r="BY14" i="5"/>
  <c r="BX14" i="5"/>
  <c r="AE14" i="5"/>
  <c r="AH14" i="5"/>
  <c r="AK14" i="5" s="1"/>
  <c r="AN14" i="5"/>
  <c r="AQ14" i="5" s="1"/>
  <c r="AT14" i="5" s="1"/>
  <c r="AW14" i="5" s="1"/>
  <c r="AZ14" i="5" s="1"/>
  <c r="BC14" i="5" s="1"/>
  <c r="BF14" i="5" s="1"/>
  <c r="BI14" i="5" s="1"/>
  <c r="BL14" i="5" s="1"/>
  <c r="BO14" i="5" s="1"/>
  <c r="BR14" i="5" s="1"/>
  <c r="BU14" i="5" s="1"/>
  <c r="U14" i="5"/>
  <c r="P14" i="5"/>
  <c r="K14" i="5"/>
  <c r="H14" i="5"/>
  <c r="G14" i="5"/>
  <c r="D14" i="5"/>
  <c r="CY13" i="5"/>
  <c r="DB13" i="5"/>
  <c r="DE13" i="5" s="1"/>
  <c r="DH13" i="5" s="1"/>
  <c r="DK13" i="5" s="1"/>
  <c r="DN13" i="5" s="1"/>
  <c r="DQ13" i="5"/>
  <c r="DT13" i="5" s="1"/>
  <c r="DW13" i="5" s="1"/>
  <c r="DZ13" i="5" s="1"/>
  <c r="EC13" i="5" s="1"/>
  <c r="EF13" i="5" s="1"/>
  <c r="EI13" i="5" s="1"/>
  <c r="EL13" i="5" s="1"/>
  <c r="EO13" i="5" s="1"/>
  <c r="CO13" i="5"/>
  <c r="CJ13" i="5"/>
  <c r="CE13" i="5"/>
  <c r="CD13" i="5"/>
  <c r="CC13" i="5"/>
  <c r="CB13" i="5"/>
  <c r="CA13" i="5"/>
  <c r="BZ13" i="5"/>
  <c r="BY13" i="5"/>
  <c r="BX13" i="5"/>
  <c r="AE13" i="5"/>
  <c r="AH13" i="5" s="1"/>
  <c r="AK13" i="5" s="1"/>
  <c r="AN13" i="5" s="1"/>
  <c r="AQ13" i="5" s="1"/>
  <c r="AT13" i="5"/>
  <c r="AW13" i="5" s="1"/>
  <c r="AZ13" i="5" s="1"/>
  <c r="BC13" i="5" s="1"/>
  <c r="BF13" i="5" s="1"/>
  <c r="BI13" i="5" s="1"/>
  <c r="BL13" i="5" s="1"/>
  <c r="BO13" i="5" s="1"/>
  <c r="BR13" i="5" s="1"/>
  <c r="BU13" i="5" s="1"/>
  <c r="U13" i="5"/>
  <c r="P13" i="5"/>
  <c r="K13" i="5"/>
  <c r="H13" i="5"/>
  <c r="G13" i="5"/>
  <c r="D13" i="5"/>
  <c r="CY12" i="5"/>
  <c r="DB12" i="5" s="1"/>
  <c r="DE12" i="5" s="1"/>
  <c r="DH12" i="5" s="1"/>
  <c r="DK12" i="5" s="1"/>
  <c r="DN12" i="5" s="1"/>
  <c r="DQ12" i="5" s="1"/>
  <c r="DT12" i="5" s="1"/>
  <c r="DW12" i="5" s="1"/>
  <c r="DZ12" i="5" s="1"/>
  <c r="EC12" i="5" s="1"/>
  <c r="EF12" i="5" s="1"/>
  <c r="EI12" i="5" s="1"/>
  <c r="EL12" i="5" s="1"/>
  <c r="EO12" i="5" s="1"/>
  <c r="CO12" i="5"/>
  <c r="CJ12" i="5"/>
  <c r="CE12" i="5"/>
  <c r="CD12" i="5"/>
  <c r="CC12" i="5"/>
  <c r="CB12" i="5"/>
  <c r="CA12" i="5"/>
  <c r="BZ12" i="5"/>
  <c r="BY12" i="5"/>
  <c r="BX12" i="5"/>
  <c r="AE12" i="5"/>
  <c r="AH12" i="5" s="1"/>
  <c r="AK12" i="5" s="1"/>
  <c r="AN12" i="5" s="1"/>
  <c r="AQ12" i="5" s="1"/>
  <c r="AT12" i="5" s="1"/>
  <c r="AW12" i="5" s="1"/>
  <c r="AZ12" i="5" s="1"/>
  <c r="BC12" i="5" s="1"/>
  <c r="BF12" i="5" s="1"/>
  <c r="BI12" i="5" s="1"/>
  <c r="BL12" i="5" s="1"/>
  <c r="BO12" i="5" s="1"/>
  <c r="BR12" i="5" s="1"/>
  <c r="BU12" i="5" s="1"/>
  <c r="U12" i="5"/>
  <c r="P12" i="5"/>
  <c r="K12" i="5"/>
  <c r="H12" i="5"/>
  <c r="G12" i="5"/>
  <c r="D12" i="5"/>
  <c r="CO11" i="5"/>
  <c r="CJ11" i="5"/>
  <c r="CE11" i="5"/>
  <c r="CD11" i="5"/>
  <c r="CC11" i="5"/>
  <c r="CB11" i="5"/>
  <c r="CA11" i="5"/>
  <c r="BZ11" i="5"/>
  <c r="BY11" i="5"/>
  <c r="BX11" i="5"/>
  <c r="U11" i="5"/>
  <c r="P11" i="5"/>
  <c r="K11" i="5"/>
  <c r="H11" i="5"/>
  <c r="G11" i="5"/>
  <c r="D11" i="5"/>
  <c r="CE10" i="5"/>
  <c r="CD10" i="5"/>
  <c r="CC10" i="5"/>
  <c r="CB10" i="5"/>
  <c r="CA10" i="5"/>
  <c r="BZ10" i="5"/>
  <c r="BY10" i="5"/>
  <c r="BX10" i="5"/>
  <c r="K10" i="5"/>
  <c r="H10" i="5"/>
  <c r="G10" i="5"/>
  <c r="D10" i="5"/>
  <c r="CE9" i="5"/>
  <c r="CD9" i="5"/>
  <c r="CC9" i="5"/>
  <c r="CB9" i="5"/>
  <c r="CA9" i="5"/>
  <c r="BZ9" i="5"/>
  <c r="BY9" i="5"/>
  <c r="BX9" i="5"/>
  <c r="L9" i="5"/>
  <c r="K9" i="5"/>
  <c r="H9" i="5"/>
  <c r="G9" i="5"/>
  <c r="D9" i="5"/>
  <c r="AA109" i="2"/>
  <c r="AA53" i="2"/>
  <c r="AA111" i="2" s="1"/>
  <c r="AA110" i="2" s="1"/>
  <c r="AA108" i="2"/>
  <c r="AA107" i="2"/>
  <c r="AA112" i="2"/>
  <c r="Z109" i="2"/>
  <c r="Z53" i="2"/>
  <c r="Z108" i="2"/>
  <c r="Z107" i="2"/>
  <c r="Z106" i="2" s="1"/>
  <c r="Z112" i="2"/>
  <c r="Z110" i="2" s="1"/>
  <c r="Z111" i="2"/>
  <c r="Y109" i="2"/>
  <c r="Y53" i="2"/>
  <c r="Y108" i="2"/>
  <c r="Y107" i="2"/>
  <c r="Y112" i="2"/>
  <c r="Y111" i="2"/>
  <c r="X109" i="2"/>
  <c r="X107" i="2" s="1"/>
  <c r="X106" i="2" s="1"/>
  <c r="X53" i="2"/>
  <c r="X108" i="2" s="1"/>
  <c r="X112" i="2"/>
  <c r="X111" i="2"/>
  <c r="X110" i="2"/>
  <c r="W109" i="2"/>
  <c r="W53" i="2"/>
  <c r="W108" i="2" s="1"/>
  <c r="W107" i="2" s="1"/>
  <c r="W106" i="2" s="1"/>
  <c r="W112" i="2"/>
  <c r="W111" i="2"/>
  <c r="W110" i="2"/>
  <c r="V109" i="2"/>
  <c r="V107" i="2" s="1"/>
  <c r="V106" i="2" s="1"/>
  <c r="V53" i="2"/>
  <c r="V108" i="2"/>
  <c r="V112" i="2"/>
  <c r="V111" i="2"/>
  <c r="V110" i="2"/>
  <c r="U109" i="2"/>
  <c r="U53" i="2"/>
  <c r="U112" i="2"/>
  <c r="T109" i="2"/>
  <c r="T53" i="2"/>
  <c r="T111" i="2" s="1"/>
  <c r="T112" i="2"/>
  <c r="S109" i="2"/>
  <c r="S53" i="2"/>
  <c r="S111" i="2" s="1"/>
  <c r="S110" i="2" s="1"/>
  <c r="S106" i="2" s="1"/>
  <c r="S108" i="2"/>
  <c r="S107" i="2"/>
  <c r="S112" i="2"/>
  <c r="R109" i="2"/>
  <c r="R53" i="2"/>
  <c r="R108" i="2"/>
  <c r="R107" i="2"/>
  <c r="R106" i="2" s="1"/>
  <c r="R112" i="2"/>
  <c r="R110" i="2" s="1"/>
  <c r="R111" i="2"/>
  <c r="Q109" i="2"/>
  <c r="Q53" i="2"/>
  <c r="Q108" i="2"/>
  <c r="Q107" i="2"/>
  <c r="Q112" i="2"/>
  <c r="Q111" i="2"/>
  <c r="P109" i="2"/>
  <c r="P107" i="2" s="1"/>
  <c r="P106" i="2" s="1"/>
  <c r="P53" i="2"/>
  <c r="P108" i="2" s="1"/>
  <c r="P112" i="2"/>
  <c r="P111" i="2"/>
  <c r="P110" i="2"/>
  <c r="O109" i="2"/>
  <c r="O107" i="2" s="1"/>
  <c r="O106" i="2" s="1"/>
  <c r="O53" i="2"/>
  <c r="O108" i="2" s="1"/>
  <c r="O112" i="2"/>
  <c r="O111" i="2"/>
  <c r="O110" i="2"/>
  <c r="N109" i="2"/>
  <c r="N107" i="2" s="1"/>
  <c r="N106" i="2" s="1"/>
  <c r="N53" i="2"/>
  <c r="N111" i="2" s="1"/>
  <c r="N110" i="2" s="1"/>
  <c r="N108" i="2"/>
  <c r="N112" i="2"/>
  <c r="M109" i="2"/>
  <c r="M53" i="2"/>
  <c r="M112" i="2"/>
  <c r="L109" i="2"/>
  <c r="L53" i="2"/>
  <c r="L111" i="2" s="1"/>
  <c r="L112" i="2"/>
  <c r="K109" i="2"/>
  <c r="K53" i="2"/>
  <c r="K111" i="2" s="1"/>
  <c r="K110" i="2" s="1"/>
  <c r="K108" i="2"/>
  <c r="K107" i="2"/>
  <c r="K106" i="2" s="1"/>
  <c r="K112" i="2"/>
  <c r="J109" i="2"/>
  <c r="J53" i="2"/>
  <c r="J108" i="2"/>
  <c r="J107" i="2"/>
  <c r="J112" i="2"/>
  <c r="J110" i="2" s="1"/>
  <c r="J111" i="2"/>
  <c r="I109" i="2"/>
  <c r="I53" i="2"/>
  <c r="I108" i="2"/>
  <c r="I107" i="2"/>
  <c r="I112" i="2"/>
  <c r="I110" i="2" s="1"/>
  <c r="I106" i="2" s="1"/>
  <c r="I111" i="2"/>
  <c r="H109" i="2"/>
  <c r="H35" i="2"/>
  <c r="H53" i="2" s="1"/>
  <c r="H112" i="2"/>
  <c r="G109" i="2"/>
  <c r="G108" i="2"/>
  <c r="G107" i="2"/>
  <c r="G112" i="2"/>
  <c r="G111" i="2"/>
  <c r="G110" i="2"/>
  <c r="F109" i="2"/>
  <c r="F107" i="2" s="1"/>
  <c r="F108" i="2"/>
  <c r="F112" i="2"/>
  <c r="F110" i="2" s="1"/>
  <c r="F111" i="2"/>
  <c r="E109" i="2"/>
  <c r="E53" i="2"/>
  <c r="E111" i="2" s="1"/>
  <c r="E110" i="2" s="1"/>
  <c r="E108" i="2"/>
  <c r="E107" i="2"/>
  <c r="E112" i="2"/>
  <c r="D109" i="2"/>
  <c r="D53" i="2"/>
  <c r="D108" i="2"/>
  <c r="D107" i="2"/>
  <c r="D112" i="2"/>
  <c r="D110" i="2" s="1"/>
  <c r="D111" i="2"/>
  <c r="AA99" i="2"/>
  <c r="AA46" i="1"/>
  <c r="AA102" i="2"/>
  <c r="Z99" i="2"/>
  <c r="AB46" i="1"/>
  <c r="Z102" i="2"/>
  <c r="Z105" i="2" s="1"/>
  <c r="Y99" i="2"/>
  <c r="Y102" i="2"/>
  <c r="X99" i="2"/>
  <c r="X102" i="2"/>
  <c r="W99" i="2"/>
  <c r="Y46" i="1"/>
  <c r="W102" i="2"/>
  <c r="V99" i="2"/>
  <c r="X46" i="1"/>
  <c r="V102" i="2"/>
  <c r="U99" i="2"/>
  <c r="W46" i="1"/>
  <c r="U102" i="2"/>
  <c r="T99" i="2"/>
  <c r="V46" i="1"/>
  <c r="T102" i="2"/>
  <c r="T105" i="2" s="1"/>
  <c r="S99" i="2"/>
  <c r="U46" i="1"/>
  <c r="S102" i="2"/>
  <c r="R99" i="2"/>
  <c r="T46" i="1"/>
  <c r="R98" i="2"/>
  <c r="R97" i="2"/>
  <c r="R102" i="2"/>
  <c r="R105" i="2" s="1"/>
  <c r="Q99" i="2"/>
  <c r="S46" i="1"/>
  <c r="Q102" i="2"/>
  <c r="P99" i="2"/>
  <c r="R46" i="1"/>
  <c r="P102" i="2"/>
  <c r="O99" i="2"/>
  <c r="Q46" i="1"/>
  <c r="O102" i="2"/>
  <c r="N99" i="2"/>
  <c r="P46" i="1"/>
  <c r="N102" i="2"/>
  <c r="M99" i="2"/>
  <c r="O46" i="1"/>
  <c r="M102" i="2"/>
  <c r="M105" i="2" s="1"/>
  <c r="M103" i="2" s="1"/>
  <c r="L99" i="2"/>
  <c r="L105" i="2" s="1"/>
  <c r="N46" i="1"/>
  <c r="L102" i="2"/>
  <c r="K99" i="2"/>
  <c r="K102" i="2"/>
  <c r="J99" i="2"/>
  <c r="J101" i="2"/>
  <c r="J102" i="2"/>
  <c r="J105" i="2" s="1"/>
  <c r="J103" i="2" s="1"/>
  <c r="I99" i="2"/>
  <c r="I105" i="2" s="1"/>
  <c r="I103" i="2" s="1"/>
  <c r="I16" i="2"/>
  <c r="I101" i="2"/>
  <c r="I102" i="2"/>
  <c r="H99" i="2"/>
  <c r="H16" i="2"/>
  <c r="H101" i="2"/>
  <c r="H102" i="2"/>
  <c r="H105" i="2" s="1"/>
  <c r="H103" i="2" s="1"/>
  <c r="G99" i="2"/>
  <c r="G97" i="2" s="1"/>
  <c r="G96" i="2" s="1"/>
  <c r="G98" i="2"/>
  <c r="G102" i="2"/>
  <c r="G101" i="2"/>
  <c r="G100" i="2"/>
  <c r="F99" i="2"/>
  <c r="F98" i="2"/>
  <c r="F97" i="2" s="1"/>
  <c r="F96" i="2" s="1"/>
  <c r="F102" i="2"/>
  <c r="F101" i="2"/>
  <c r="F100" i="2" s="1"/>
  <c r="E99" i="2"/>
  <c r="E98" i="2"/>
  <c r="E97" i="2"/>
  <c r="E102" i="2"/>
  <c r="E101" i="2"/>
  <c r="D99" i="2"/>
  <c r="D97" i="2" s="1"/>
  <c r="D98" i="2"/>
  <c r="D102" i="2"/>
  <c r="D101" i="2"/>
  <c r="D100" i="2"/>
  <c r="D96" i="2" s="1"/>
  <c r="L45" i="1"/>
  <c r="P45" i="1" s="1"/>
  <c r="I56" i="2"/>
  <c r="I50" i="2"/>
  <c r="H56" i="2"/>
  <c r="H50" i="2"/>
  <c r="H55" i="2"/>
  <c r="G56" i="2"/>
  <c r="G55" i="2"/>
  <c r="E110" i="3"/>
  <c r="D110" i="3"/>
  <c r="D51" i="3"/>
  <c r="P109" i="3"/>
  <c r="O109" i="3"/>
  <c r="N109" i="3"/>
  <c r="I109" i="3"/>
  <c r="E51" i="3"/>
  <c r="E106" i="3" s="1"/>
  <c r="E109" i="3"/>
  <c r="AD108" i="3"/>
  <c r="AE108" i="3" s="1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I108" i="3"/>
  <c r="E107" i="3"/>
  <c r="D107" i="3"/>
  <c r="AD51" i="3"/>
  <c r="AD106" i="3" s="1"/>
  <c r="AE106" i="3"/>
  <c r="AC51" i="3"/>
  <c r="AC106" i="3" s="1"/>
  <c r="AC105" i="3" s="1"/>
  <c r="AC104" i="3" s="1"/>
  <c r="AB51" i="3"/>
  <c r="AB106" i="3" s="1"/>
  <c r="AB105" i="3" s="1"/>
  <c r="AB104" i="3" s="1"/>
  <c r="AA51" i="3"/>
  <c r="AA106" i="3" s="1"/>
  <c r="AA105" i="3" s="1"/>
  <c r="AA104" i="3" s="1"/>
  <c r="Z51" i="3"/>
  <c r="Z106" i="3"/>
  <c r="Z105" i="3" s="1"/>
  <c r="Z104" i="3" s="1"/>
  <c r="Y51" i="3"/>
  <c r="Y106" i="3" s="1"/>
  <c r="Y105" i="3" s="1"/>
  <c r="Y104" i="3" s="1"/>
  <c r="X51" i="3"/>
  <c r="X106" i="3" s="1"/>
  <c r="W51" i="3"/>
  <c r="W106" i="3" s="1"/>
  <c r="W105" i="3" s="1"/>
  <c r="W104" i="3" s="1"/>
  <c r="V51" i="3"/>
  <c r="V106" i="3"/>
  <c r="V105" i="3" s="1"/>
  <c r="V104" i="3" s="1"/>
  <c r="U51" i="3"/>
  <c r="U106" i="3" s="1"/>
  <c r="U105" i="3" s="1"/>
  <c r="U104" i="3" s="1"/>
  <c r="T51" i="3"/>
  <c r="T106" i="3" s="1"/>
  <c r="T105" i="3" s="1"/>
  <c r="T104" i="3" s="1"/>
  <c r="S51" i="3"/>
  <c r="S106" i="3" s="1"/>
  <c r="S105" i="3" s="1"/>
  <c r="S104" i="3" s="1"/>
  <c r="R51" i="3"/>
  <c r="R106" i="3"/>
  <c r="R105" i="3" s="1"/>
  <c r="Q51" i="3"/>
  <c r="Q106" i="3" s="1"/>
  <c r="Q105" i="3" s="1"/>
  <c r="Q104" i="3" s="1"/>
  <c r="P106" i="3"/>
  <c r="O106" i="3"/>
  <c r="N106" i="3"/>
  <c r="I106" i="3"/>
  <c r="AD105" i="3"/>
  <c r="X105" i="3"/>
  <c r="X104" i="3" s="1"/>
  <c r="P105" i="3"/>
  <c r="P104" i="3" s="1"/>
  <c r="O105" i="3"/>
  <c r="O104" i="3" s="1"/>
  <c r="N105" i="3"/>
  <c r="I105" i="3"/>
  <c r="R104" i="3"/>
  <c r="N104" i="3"/>
  <c r="I104" i="3"/>
  <c r="AE103" i="3"/>
  <c r="AD103" i="3"/>
  <c r="AC103" i="3"/>
  <c r="AC101" i="3" s="1"/>
  <c r="AB103" i="3"/>
  <c r="AA103" i="3"/>
  <c r="Z103" i="3"/>
  <c r="Y103" i="3"/>
  <c r="X103" i="3"/>
  <c r="W103" i="3"/>
  <c r="V103" i="3"/>
  <c r="U103" i="3"/>
  <c r="U101" i="3" s="1"/>
  <c r="T103" i="3"/>
  <c r="S103" i="3"/>
  <c r="R103" i="3"/>
  <c r="Q103" i="3"/>
  <c r="P103" i="3"/>
  <c r="O103" i="3"/>
  <c r="N103" i="3"/>
  <c r="I103" i="3"/>
  <c r="E97" i="3"/>
  <c r="E100" i="3"/>
  <c r="D97" i="3"/>
  <c r="D100" i="3"/>
  <c r="G100" i="3" s="1"/>
  <c r="P102" i="3"/>
  <c r="O102" i="3"/>
  <c r="O101" i="3" s="1"/>
  <c r="N102" i="3"/>
  <c r="I102" i="3"/>
  <c r="E102" i="3"/>
  <c r="G102" i="3" s="1"/>
  <c r="D102" i="3"/>
  <c r="AE101" i="3"/>
  <c r="AD101" i="3"/>
  <c r="AB101" i="3"/>
  <c r="AA101" i="3"/>
  <c r="Z101" i="3"/>
  <c r="Y101" i="3"/>
  <c r="X101" i="3"/>
  <c r="W101" i="3"/>
  <c r="V101" i="3"/>
  <c r="T101" i="3"/>
  <c r="S101" i="3"/>
  <c r="R101" i="3"/>
  <c r="Q101" i="3"/>
  <c r="P101" i="3"/>
  <c r="N101" i="3"/>
  <c r="I101" i="3"/>
  <c r="F100" i="3"/>
  <c r="AE99" i="3"/>
  <c r="AD99" i="3"/>
  <c r="AC99" i="3"/>
  <c r="AB99" i="3"/>
  <c r="AA99" i="3"/>
  <c r="Z99" i="3"/>
  <c r="Z98" i="3" s="1"/>
  <c r="Z94" i="3" s="1"/>
  <c r="Y99" i="3"/>
  <c r="Y98" i="3" s="1"/>
  <c r="Y94" i="3" s="1"/>
  <c r="X99" i="3"/>
  <c r="W99" i="3"/>
  <c r="V99" i="3"/>
  <c r="U99" i="3"/>
  <c r="T99" i="3"/>
  <c r="S99" i="3"/>
  <c r="R99" i="3"/>
  <c r="R98" i="3" s="1"/>
  <c r="R94" i="3" s="1"/>
  <c r="Q99" i="3"/>
  <c r="Q98" i="3" s="1"/>
  <c r="Q94" i="3" s="1"/>
  <c r="P99" i="3"/>
  <c r="O99" i="3"/>
  <c r="N99" i="3"/>
  <c r="I99" i="3"/>
  <c r="E99" i="3"/>
  <c r="D99" i="3"/>
  <c r="G99" i="3"/>
  <c r="F99" i="3"/>
  <c r="AD98" i="3"/>
  <c r="AE98" i="3" s="1"/>
  <c r="AC98" i="3"/>
  <c r="AB98" i="3"/>
  <c r="AA98" i="3"/>
  <c r="X98" i="3"/>
  <c r="W98" i="3"/>
  <c r="V98" i="3"/>
  <c r="U98" i="3"/>
  <c r="T98" i="3"/>
  <c r="S98" i="3"/>
  <c r="P98" i="3"/>
  <c r="O98" i="3"/>
  <c r="N98" i="3"/>
  <c r="I98" i="3"/>
  <c r="E98" i="3"/>
  <c r="D98" i="3"/>
  <c r="AD96" i="3"/>
  <c r="AE96" i="3"/>
  <c r="AC96" i="3"/>
  <c r="AB96" i="3"/>
  <c r="AA96" i="3"/>
  <c r="Z96" i="3"/>
  <c r="Y96" i="3"/>
  <c r="X96" i="3"/>
  <c r="W96" i="3"/>
  <c r="V96" i="3"/>
  <c r="V95" i="3" s="1"/>
  <c r="V94" i="3" s="1"/>
  <c r="U96" i="3"/>
  <c r="U95" i="3" s="1"/>
  <c r="U94" i="3" s="1"/>
  <c r="T96" i="3"/>
  <c r="S96" i="3"/>
  <c r="R96" i="3"/>
  <c r="Q96" i="3"/>
  <c r="P96" i="3"/>
  <c r="O96" i="3"/>
  <c r="N96" i="3"/>
  <c r="N95" i="3" s="1"/>
  <c r="N94" i="3" s="1"/>
  <c r="I96" i="3"/>
  <c r="E96" i="3"/>
  <c r="D96" i="3"/>
  <c r="G96" i="3" s="1"/>
  <c r="F96" i="3"/>
  <c r="AD95" i="3"/>
  <c r="AE95" i="3" s="1"/>
  <c r="AC95" i="3"/>
  <c r="AC94" i="3" s="1"/>
  <c r="AB95" i="3"/>
  <c r="AB94" i="3" s="1"/>
  <c r="AA95" i="3"/>
  <c r="Z95" i="3"/>
  <c r="Y95" i="3"/>
  <c r="X95" i="3"/>
  <c r="W95" i="3"/>
  <c r="T95" i="3"/>
  <c r="T94" i="3" s="1"/>
  <c r="S95" i="3"/>
  <c r="R95" i="3"/>
  <c r="Q95" i="3"/>
  <c r="P95" i="3"/>
  <c r="O95" i="3"/>
  <c r="I95" i="3"/>
  <c r="I94" i="3" s="1"/>
  <c r="E95" i="3"/>
  <c r="AD94" i="3"/>
  <c r="AE94" i="3"/>
  <c r="AA94" i="3"/>
  <c r="X94" i="3"/>
  <c r="W94" i="3"/>
  <c r="S94" i="3"/>
  <c r="P94" i="3"/>
  <c r="O94" i="3"/>
  <c r="AE92" i="3"/>
  <c r="G92" i="3"/>
  <c r="F92" i="3"/>
  <c r="AE91" i="3"/>
  <c r="G91" i="3"/>
  <c r="F91" i="3"/>
  <c r="AE90" i="3"/>
  <c r="G90" i="3"/>
  <c r="F90" i="3"/>
  <c r="AE89" i="3"/>
  <c r="E89" i="3"/>
  <c r="D89" i="3"/>
  <c r="F89" i="3" s="1"/>
  <c r="G89" i="3"/>
  <c r="AD88" i="3"/>
  <c r="AE88" i="3"/>
  <c r="AC88" i="3"/>
  <c r="AB88" i="3"/>
  <c r="AA88" i="3"/>
  <c r="Z88" i="3"/>
  <c r="Y88" i="3"/>
  <c r="Y86" i="3" s="1"/>
  <c r="Y80" i="3" s="1"/>
  <c r="X88" i="3"/>
  <c r="W88" i="3"/>
  <c r="V88" i="3"/>
  <c r="U88" i="3"/>
  <c r="T88" i="3"/>
  <c r="S88" i="3"/>
  <c r="R88" i="3"/>
  <c r="Q88" i="3"/>
  <c r="Q86" i="3" s="1"/>
  <c r="Q80" i="3" s="1"/>
  <c r="P88" i="3"/>
  <c r="O88" i="3"/>
  <c r="N88" i="3"/>
  <c r="I88" i="3"/>
  <c r="E25" i="3"/>
  <c r="E88" i="3"/>
  <c r="D25" i="3"/>
  <c r="D88" i="3"/>
  <c r="D82" i="3" s="1"/>
  <c r="G82" i="3" s="1"/>
  <c r="AD87" i="3"/>
  <c r="AE87" i="3"/>
  <c r="AC87" i="3"/>
  <c r="AB87" i="3"/>
  <c r="AA87" i="3"/>
  <c r="Z87" i="3"/>
  <c r="Y87" i="3"/>
  <c r="Y81" i="3" s="1"/>
  <c r="X87" i="3"/>
  <c r="W87" i="3"/>
  <c r="V87" i="3"/>
  <c r="U87" i="3"/>
  <c r="T87" i="3"/>
  <c r="S87" i="3"/>
  <c r="R87" i="3"/>
  <c r="Q87" i="3"/>
  <c r="Q81" i="3" s="1"/>
  <c r="P87" i="3"/>
  <c r="O87" i="3"/>
  <c r="N87" i="3"/>
  <c r="I87" i="3"/>
  <c r="E24" i="3"/>
  <c r="E87" i="3"/>
  <c r="D24" i="3"/>
  <c r="D87" i="3" s="1"/>
  <c r="AD86" i="3"/>
  <c r="AE86" i="3" s="1"/>
  <c r="AC86" i="3"/>
  <c r="AB86" i="3"/>
  <c r="AA86" i="3"/>
  <c r="X86" i="3"/>
  <c r="W86" i="3"/>
  <c r="V86" i="3"/>
  <c r="U86" i="3"/>
  <c r="T86" i="3"/>
  <c r="S86" i="3"/>
  <c r="P86" i="3"/>
  <c r="O86" i="3"/>
  <c r="N86" i="3"/>
  <c r="I86" i="3"/>
  <c r="E85" i="3"/>
  <c r="G85" i="3" s="1"/>
  <c r="AE84" i="3"/>
  <c r="E84" i="3"/>
  <c r="AD83" i="3"/>
  <c r="AC83" i="3"/>
  <c r="AB83" i="3"/>
  <c r="AA83" i="3"/>
  <c r="AA80" i="3" s="1"/>
  <c r="Z83" i="3"/>
  <c r="Y83" i="3"/>
  <c r="X83" i="3"/>
  <c r="W83" i="3"/>
  <c r="V83" i="3"/>
  <c r="U83" i="3"/>
  <c r="T83" i="3"/>
  <c r="S83" i="3"/>
  <c r="S80" i="3" s="1"/>
  <c r="R83" i="3"/>
  <c r="Q83" i="3"/>
  <c r="P83" i="3"/>
  <c r="O83" i="3"/>
  <c r="N83" i="3"/>
  <c r="I83" i="3"/>
  <c r="D83" i="3"/>
  <c r="AE82" i="3"/>
  <c r="AD82" i="3"/>
  <c r="AC82" i="3"/>
  <c r="AB82" i="3"/>
  <c r="AA82" i="3"/>
  <c r="Z82" i="3"/>
  <c r="X82" i="3"/>
  <c r="W82" i="3"/>
  <c r="V82" i="3"/>
  <c r="U82" i="3"/>
  <c r="T82" i="3"/>
  <c r="S82" i="3"/>
  <c r="R82" i="3"/>
  <c r="P82" i="3"/>
  <c r="O82" i="3"/>
  <c r="N82" i="3"/>
  <c r="I82" i="3"/>
  <c r="AD81" i="3"/>
  <c r="AC81" i="3"/>
  <c r="AB81" i="3"/>
  <c r="AA81" i="3"/>
  <c r="X81" i="3"/>
  <c r="W81" i="3"/>
  <c r="V81" i="3"/>
  <c r="U81" i="3"/>
  <c r="T81" i="3"/>
  <c r="S81" i="3"/>
  <c r="P81" i="3"/>
  <c r="O81" i="3"/>
  <c r="N81" i="3"/>
  <c r="I81" i="3"/>
  <c r="AD80" i="3"/>
  <c r="AC80" i="3"/>
  <c r="AB80" i="3"/>
  <c r="X80" i="3"/>
  <c r="W80" i="3"/>
  <c r="V80" i="3"/>
  <c r="U80" i="3"/>
  <c r="T80" i="3"/>
  <c r="P80" i="3"/>
  <c r="O80" i="3"/>
  <c r="N80" i="3"/>
  <c r="I80" i="3"/>
  <c r="G79" i="3"/>
  <c r="F79" i="3"/>
  <c r="G78" i="3"/>
  <c r="F78" i="3"/>
  <c r="AD77" i="3"/>
  <c r="AE77" i="3" s="1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I77" i="3"/>
  <c r="E77" i="3"/>
  <c r="G77" i="3" s="1"/>
  <c r="D77" i="3"/>
  <c r="AD76" i="3"/>
  <c r="AE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I76" i="3"/>
  <c r="I73" i="3" s="1"/>
  <c r="E76" i="3"/>
  <c r="AD75" i="3"/>
  <c r="AE75" i="3" s="1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I75" i="3"/>
  <c r="D75" i="3"/>
  <c r="AD74" i="3"/>
  <c r="AE74" i="3" s="1"/>
  <c r="AA74" i="3"/>
  <c r="Z74" i="3"/>
  <c r="Y74" i="3"/>
  <c r="X74" i="3"/>
  <c r="W74" i="3"/>
  <c r="S74" i="3"/>
  <c r="R74" i="3"/>
  <c r="Q74" i="3"/>
  <c r="P74" i="3"/>
  <c r="O74" i="3"/>
  <c r="AD73" i="3"/>
  <c r="AE73" i="3" s="1"/>
  <c r="AC73" i="3"/>
  <c r="AB73" i="3"/>
  <c r="AA73" i="3"/>
  <c r="Z73" i="3"/>
  <c r="Y73" i="3"/>
  <c r="X73" i="3"/>
  <c r="W73" i="3"/>
  <c r="U73" i="3"/>
  <c r="T73" i="3"/>
  <c r="S73" i="3"/>
  <c r="R73" i="3"/>
  <c r="Q73" i="3"/>
  <c r="P73" i="3"/>
  <c r="O73" i="3"/>
  <c r="E73" i="3"/>
  <c r="AD72" i="3"/>
  <c r="AE72" i="3"/>
  <c r="AA72" i="3"/>
  <c r="Z72" i="3"/>
  <c r="Y72" i="3"/>
  <c r="Y71" i="3" s="1"/>
  <c r="X72" i="3"/>
  <c r="X71" i="3" s="1"/>
  <c r="W72" i="3"/>
  <c r="V72" i="3"/>
  <c r="S72" i="3"/>
  <c r="R72" i="3"/>
  <c r="Q72" i="3"/>
  <c r="Q71" i="3" s="1"/>
  <c r="P72" i="3"/>
  <c r="P71" i="3" s="1"/>
  <c r="O72" i="3"/>
  <c r="N72" i="3"/>
  <c r="AD71" i="3"/>
  <c r="AE71" i="3" s="1"/>
  <c r="AA71" i="3"/>
  <c r="Z71" i="3"/>
  <c r="W71" i="3"/>
  <c r="S71" i="3"/>
  <c r="R71" i="3"/>
  <c r="O71" i="3"/>
  <c r="AE69" i="3"/>
  <c r="G69" i="3"/>
  <c r="F69" i="3"/>
  <c r="AE68" i="3"/>
  <c r="G68" i="3"/>
  <c r="F68" i="3"/>
  <c r="AE61" i="3"/>
  <c r="G61" i="3"/>
  <c r="F61" i="3"/>
  <c r="AE60" i="3"/>
  <c r="G60" i="3"/>
  <c r="F60" i="3"/>
  <c r="AE59" i="3"/>
  <c r="AE57" i="3"/>
  <c r="AE56" i="3"/>
  <c r="AD55" i="3"/>
  <c r="AE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I55" i="3"/>
  <c r="E55" i="3"/>
  <c r="D55" i="3"/>
  <c r="F55" i="3"/>
  <c r="AD13" i="3"/>
  <c r="AD54" i="3" s="1"/>
  <c r="AD53" i="3" s="1"/>
  <c r="AE53" i="3" s="1"/>
  <c r="AE54" i="3"/>
  <c r="AC13" i="3"/>
  <c r="AC54" i="3" s="1"/>
  <c r="AC53" i="3" s="1"/>
  <c r="AB13" i="3"/>
  <c r="AB54" i="3" s="1"/>
  <c r="AB53" i="3" s="1"/>
  <c r="AA13" i="3"/>
  <c r="AA54" i="3" s="1"/>
  <c r="AA53" i="3" s="1"/>
  <c r="Z13" i="3"/>
  <c r="Z54" i="3"/>
  <c r="Z53" i="3" s="1"/>
  <c r="Y13" i="3"/>
  <c r="X13" i="3"/>
  <c r="X54" i="3" s="1"/>
  <c r="X53" i="3" s="1"/>
  <c r="W13" i="3"/>
  <c r="W54" i="3" s="1"/>
  <c r="W53" i="3" s="1"/>
  <c r="V13" i="3"/>
  <c r="V54" i="3"/>
  <c r="V53" i="3" s="1"/>
  <c r="U13" i="3"/>
  <c r="U54" i="3" s="1"/>
  <c r="U53" i="3" s="1"/>
  <c r="T13" i="3"/>
  <c r="T54" i="3" s="1"/>
  <c r="T53" i="3" s="1"/>
  <c r="S13" i="3"/>
  <c r="S54" i="3" s="1"/>
  <c r="S53" i="3" s="1"/>
  <c r="R13" i="3"/>
  <c r="R54" i="3"/>
  <c r="R53" i="3" s="1"/>
  <c r="Q13" i="3"/>
  <c r="E13" i="3"/>
  <c r="E54" i="3" s="1"/>
  <c r="D13" i="3"/>
  <c r="D54" i="3" s="1"/>
  <c r="F54" i="3" s="1"/>
  <c r="E16" i="3"/>
  <c r="E53" i="3"/>
  <c r="D16" i="3"/>
  <c r="D53" i="3"/>
  <c r="F52" i="3"/>
  <c r="AE51" i="3"/>
  <c r="F50" i="3"/>
  <c r="E49" i="3"/>
  <c r="G49" i="3" s="1"/>
  <c r="D49" i="3"/>
  <c r="E48" i="3"/>
  <c r="D48" i="3"/>
  <c r="F48" i="3" s="1"/>
  <c r="F47" i="3"/>
  <c r="AE46" i="3"/>
  <c r="G46" i="3"/>
  <c r="F46" i="3"/>
  <c r="AE45" i="3"/>
  <c r="G45" i="3"/>
  <c r="F45" i="3"/>
  <c r="AD44" i="3"/>
  <c r="AE44" i="3"/>
  <c r="AC44" i="3"/>
  <c r="AB44" i="3"/>
  <c r="AA44" i="3"/>
  <c r="Z44" i="3"/>
  <c r="Y44" i="3"/>
  <c r="Y34" i="3" s="1"/>
  <c r="X44" i="3"/>
  <c r="W44" i="3"/>
  <c r="V44" i="3"/>
  <c r="U44" i="3"/>
  <c r="T44" i="3"/>
  <c r="S44" i="3"/>
  <c r="R44" i="3"/>
  <c r="Q44" i="3"/>
  <c r="Q34" i="3" s="1"/>
  <c r="P44" i="3"/>
  <c r="O44" i="3"/>
  <c r="N44" i="3"/>
  <c r="I44" i="3"/>
  <c r="E44" i="3"/>
  <c r="G44" i="3" s="1"/>
  <c r="D44" i="3"/>
  <c r="F44" i="3"/>
  <c r="AE43" i="3"/>
  <c r="G43" i="3"/>
  <c r="F43" i="3"/>
  <c r="AE42" i="3"/>
  <c r="G42" i="3"/>
  <c r="F42" i="3"/>
  <c r="AD41" i="3"/>
  <c r="AE41" i="3"/>
  <c r="AC41" i="3"/>
  <c r="AC34" i="3" s="1"/>
  <c r="AB41" i="3"/>
  <c r="AA41" i="3"/>
  <c r="Z41" i="3"/>
  <c r="Y41" i="3"/>
  <c r="X41" i="3"/>
  <c r="W41" i="3"/>
  <c r="V41" i="3"/>
  <c r="U41" i="3"/>
  <c r="U34" i="3" s="1"/>
  <c r="T41" i="3"/>
  <c r="S41" i="3"/>
  <c r="R41" i="3"/>
  <c r="Q41" i="3"/>
  <c r="P41" i="3"/>
  <c r="O41" i="3"/>
  <c r="N41" i="3"/>
  <c r="I41" i="3"/>
  <c r="I34" i="3" s="1"/>
  <c r="E41" i="3"/>
  <c r="G41" i="3" s="1"/>
  <c r="D41" i="3"/>
  <c r="F41" i="3" s="1"/>
  <c r="AE40" i="3"/>
  <c r="G40" i="3"/>
  <c r="F40" i="3"/>
  <c r="AE39" i="3"/>
  <c r="G39" i="3"/>
  <c r="F39" i="3"/>
  <c r="AD38" i="3"/>
  <c r="AE38" i="3" s="1"/>
  <c r="AC38" i="3"/>
  <c r="AB38" i="3"/>
  <c r="AA38" i="3"/>
  <c r="AA34" i="3" s="1"/>
  <c r="Z38" i="3"/>
  <c r="Z34" i="3" s="1"/>
  <c r="Y38" i="3"/>
  <c r="X38" i="3"/>
  <c r="W38" i="3"/>
  <c r="V38" i="3"/>
  <c r="U38" i="3"/>
  <c r="T38" i="3"/>
  <c r="S38" i="3"/>
  <c r="S34" i="3" s="1"/>
  <c r="R38" i="3"/>
  <c r="R34" i="3" s="1"/>
  <c r="Q38" i="3"/>
  <c r="P38" i="3"/>
  <c r="O38" i="3"/>
  <c r="N38" i="3"/>
  <c r="I38" i="3"/>
  <c r="E38" i="3"/>
  <c r="F38" i="3" s="1"/>
  <c r="D38" i="3"/>
  <c r="D34" i="3" s="1"/>
  <c r="G38" i="3"/>
  <c r="AE37" i="3"/>
  <c r="G37" i="3"/>
  <c r="F37" i="3"/>
  <c r="AE36" i="3"/>
  <c r="G36" i="3"/>
  <c r="F36" i="3"/>
  <c r="AD35" i="3"/>
  <c r="AE35" i="3" s="1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I35" i="3"/>
  <c r="E35" i="3"/>
  <c r="G35" i="3" s="1"/>
  <c r="D35" i="3"/>
  <c r="AD34" i="3"/>
  <c r="AE34" i="3" s="1"/>
  <c r="AB34" i="3"/>
  <c r="W34" i="3"/>
  <c r="V34" i="3"/>
  <c r="T34" i="3"/>
  <c r="O34" i="3"/>
  <c r="N34" i="3"/>
  <c r="E34" i="3"/>
  <c r="G34" i="3" s="1"/>
  <c r="G33" i="3"/>
  <c r="F33" i="3"/>
  <c r="AD32" i="3"/>
  <c r="AC32" i="3"/>
  <c r="AB32" i="3"/>
  <c r="AA32" i="3"/>
  <c r="Z32" i="3"/>
  <c r="Y32" i="3"/>
  <c r="X32" i="3"/>
  <c r="X27" i="3" s="1"/>
  <c r="X26" i="3" s="1"/>
  <c r="W32" i="3"/>
  <c r="W27" i="3" s="1"/>
  <c r="V32" i="3"/>
  <c r="U32" i="3"/>
  <c r="T32" i="3"/>
  <c r="S32" i="3"/>
  <c r="R32" i="3"/>
  <c r="Q32" i="3"/>
  <c r="P32" i="3"/>
  <c r="P27" i="3" s="1"/>
  <c r="P26" i="3" s="1"/>
  <c r="O32" i="3"/>
  <c r="O27" i="3" s="1"/>
  <c r="N32" i="3"/>
  <c r="I32" i="3"/>
  <c r="E32" i="3"/>
  <c r="G32" i="3" s="1"/>
  <c r="D32" i="3"/>
  <c r="AD31" i="3"/>
  <c r="AE31" i="3"/>
  <c r="AC31" i="3"/>
  <c r="AB31" i="3"/>
  <c r="AA31" i="3"/>
  <c r="Z31" i="3"/>
  <c r="Y31" i="3"/>
  <c r="X31" i="3"/>
  <c r="W31" i="3"/>
  <c r="V31" i="3"/>
  <c r="V28" i="3" s="1"/>
  <c r="U31" i="3"/>
  <c r="T31" i="3"/>
  <c r="S31" i="3"/>
  <c r="R31" i="3"/>
  <c r="Q31" i="3"/>
  <c r="P31" i="3"/>
  <c r="O31" i="3"/>
  <c r="N31" i="3"/>
  <c r="N28" i="3" s="1"/>
  <c r="I31" i="3"/>
  <c r="E31" i="3"/>
  <c r="G31" i="3" s="1"/>
  <c r="D31" i="3"/>
  <c r="AD30" i="3"/>
  <c r="AE30" i="3"/>
  <c r="AC30" i="3"/>
  <c r="AC27" i="3" s="1"/>
  <c r="AC26" i="3" s="1"/>
  <c r="AB30" i="3"/>
  <c r="AA30" i="3"/>
  <c r="Z30" i="3"/>
  <c r="Y30" i="3"/>
  <c r="X30" i="3"/>
  <c r="W30" i="3"/>
  <c r="V30" i="3"/>
  <c r="U30" i="3"/>
  <c r="U27" i="3" s="1"/>
  <c r="U26" i="3" s="1"/>
  <c r="T30" i="3"/>
  <c r="S30" i="3"/>
  <c r="R30" i="3"/>
  <c r="Q30" i="3"/>
  <c r="P30" i="3"/>
  <c r="O30" i="3"/>
  <c r="N30" i="3"/>
  <c r="I30" i="3"/>
  <c r="I27" i="3" s="1"/>
  <c r="I26" i="3" s="1"/>
  <c r="E30" i="3"/>
  <c r="D30" i="3"/>
  <c r="G30" i="3" s="1"/>
  <c r="AB29" i="3"/>
  <c r="AA29" i="3"/>
  <c r="Z29" i="3"/>
  <c r="Y29" i="3"/>
  <c r="X29" i="3"/>
  <c r="T29" i="3"/>
  <c r="S29" i="3"/>
  <c r="R29" i="3"/>
  <c r="Q29" i="3"/>
  <c r="P29" i="3"/>
  <c r="E29" i="3"/>
  <c r="D29" i="3"/>
  <c r="AC28" i="3"/>
  <c r="AB28" i="3"/>
  <c r="AB26" i="3" s="1"/>
  <c r="AA28" i="3"/>
  <c r="Z28" i="3"/>
  <c r="Y28" i="3"/>
  <c r="X28" i="3"/>
  <c r="U28" i="3"/>
  <c r="T28" i="3"/>
  <c r="T26" i="3" s="1"/>
  <c r="S28" i="3"/>
  <c r="R28" i="3"/>
  <c r="Q28" i="3"/>
  <c r="P28" i="3"/>
  <c r="I28" i="3"/>
  <c r="E28" i="3"/>
  <c r="D28" i="3"/>
  <c r="AB27" i="3"/>
  <c r="AA27" i="3"/>
  <c r="AA26" i="3" s="1"/>
  <c r="Z27" i="3"/>
  <c r="Z26" i="3" s="1"/>
  <c r="Y27" i="3"/>
  <c r="T27" i="3"/>
  <c r="S27" i="3"/>
  <c r="R27" i="3"/>
  <c r="R26" i="3" s="1"/>
  <c r="Q27" i="3"/>
  <c r="E27" i="3"/>
  <c r="D27" i="3"/>
  <c r="G27" i="3" s="1"/>
  <c r="Y26" i="3"/>
  <c r="Q26" i="3"/>
  <c r="AD23" i="3"/>
  <c r="AE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I23" i="3"/>
  <c r="D23" i="3"/>
  <c r="AD22" i="3"/>
  <c r="AC22" i="3"/>
  <c r="AB22" i="3"/>
  <c r="AA22" i="3"/>
  <c r="Z22" i="3"/>
  <c r="Y22" i="3"/>
  <c r="X22" i="3"/>
  <c r="W22" i="3"/>
  <c r="W19" i="3" s="1"/>
  <c r="V22" i="3"/>
  <c r="U22" i="3"/>
  <c r="T22" i="3"/>
  <c r="S22" i="3"/>
  <c r="R22" i="3"/>
  <c r="Q22" i="3"/>
  <c r="P22" i="3"/>
  <c r="O22" i="3"/>
  <c r="O19" i="3" s="1"/>
  <c r="N22" i="3"/>
  <c r="I22" i="3"/>
  <c r="E22" i="3"/>
  <c r="G22" i="3" s="1"/>
  <c r="D22" i="3"/>
  <c r="AD21" i="3"/>
  <c r="AE21" i="3" s="1"/>
  <c r="AC21" i="3"/>
  <c r="AB21" i="3"/>
  <c r="AA21" i="3"/>
  <c r="Z21" i="3"/>
  <c r="Y21" i="3"/>
  <c r="X21" i="3"/>
  <c r="W21" i="3"/>
  <c r="V21" i="3"/>
  <c r="V18" i="3" s="1"/>
  <c r="U21" i="3"/>
  <c r="T21" i="3"/>
  <c r="S21" i="3"/>
  <c r="R21" i="3"/>
  <c r="Q21" i="3"/>
  <c r="P21" i="3"/>
  <c r="O21" i="3"/>
  <c r="N21" i="3"/>
  <c r="N18" i="3" s="1"/>
  <c r="I21" i="3"/>
  <c r="E21" i="3"/>
  <c r="G21" i="3" s="1"/>
  <c r="D21" i="3"/>
  <c r="AC20" i="3"/>
  <c r="AB20" i="3"/>
  <c r="AA20" i="3"/>
  <c r="Z20" i="3"/>
  <c r="Y20" i="3"/>
  <c r="U20" i="3"/>
  <c r="T20" i="3"/>
  <c r="S20" i="3"/>
  <c r="R20" i="3"/>
  <c r="Q20" i="3"/>
  <c r="N20" i="3"/>
  <c r="I20" i="3"/>
  <c r="E20" i="3"/>
  <c r="D20" i="3"/>
  <c r="G20" i="3" s="1"/>
  <c r="AC19" i="3"/>
  <c r="AB19" i="3"/>
  <c r="AA19" i="3"/>
  <c r="Z19" i="3"/>
  <c r="Y19" i="3"/>
  <c r="V19" i="3"/>
  <c r="U19" i="3"/>
  <c r="T19" i="3"/>
  <c r="S19" i="3"/>
  <c r="R19" i="3"/>
  <c r="Q19" i="3"/>
  <c r="N19" i="3"/>
  <c r="I19" i="3"/>
  <c r="D19" i="3"/>
  <c r="AC18" i="3"/>
  <c r="AB18" i="3"/>
  <c r="AA18" i="3"/>
  <c r="Z18" i="3"/>
  <c r="Y18" i="3"/>
  <c r="X18" i="3"/>
  <c r="U18" i="3"/>
  <c r="T18" i="3"/>
  <c r="S18" i="3"/>
  <c r="R18" i="3"/>
  <c r="Q18" i="3"/>
  <c r="P18" i="3"/>
  <c r="I18" i="3"/>
  <c r="E18" i="3"/>
  <c r="AD16" i="3"/>
  <c r="AE16" i="3"/>
  <c r="AC16" i="3"/>
  <c r="AB16" i="3"/>
  <c r="AA16" i="3"/>
  <c r="Z16" i="3"/>
  <c r="X16" i="3"/>
  <c r="W16" i="3"/>
  <c r="V16" i="3"/>
  <c r="U16" i="3"/>
  <c r="T16" i="3"/>
  <c r="S16" i="3"/>
  <c r="R16" i="3"/>
  <c r="P13" i="3"/>
  <c r="P16" i="3" s="1"/>
  <c r="O13" i="3"/>
  <c r="O16" i="3"/>
  <c r="N13" i="3"/>
  <c r="N16" i="3"/>
  <c r="I13" i="3"/>
  <c r="I16" i="3" s="1"/>
  <c r="G15" i="3"/>
  <c r="F15" i="3"/>
  <c r="G14" i="3"/>
  <c r="F14" i="3"/>
  <c r="AE13" i="3"/>
  <c r="G13" i="3"/>
  <c r="F13" i="3"/>
  <c r="AE12" i="3"/>
  <c r="AD12" i="3"/>
  <c r="AC12" i="3"/>
  <c r="AC10" i="3" s="1"/>
  <c r="AB12" i="3"/>
  <c r="AA12" i="3"/>
  <c r="Z12" i="3"/>
  <c r="Y12" i="3"/>
  <c r="X12" i="3"/>
  <c r="W12" i="3"/>
  <c r="V12" i="3"/>
  <c r="U12" i="3"/>
  <c r="U10" i="3" s="1"/>
  <c r="T12" i="3"/>
  <c r="S12" i="3"/>
  <c r="R12" i="3"/>
  <c r="Q12" i="3"/>
  <c r="G12" i="3"/>
  <c r="F12" i="3"/>
  <c r="AE11" i="3"/>
  <c r="AD11" i="3"/>
  <c r="AD10" i="3" s="1"/>
  <c r="AE10" i="3" s="1"/>
  <c r="AC11" i="3"/>
  <c r="AB11" i="3"/>
  <c r="AA11" i="3"/>
  <c r="Z11" i="3"/>
  <c r="Y11" i="3"/>
  <c r="X11" i="3"/>
  <c r="W11" i="3"/>
  <c r="V11" i="3"/>
  <c r="V10" i="3" s="1"/>
  <c r="U11" i="3"/>
  <c r="T11" i="3"/>
  <c r="S11" i="3"/>
  <c r="R11" i="3"/>
  <c r="Q11" i="3"/>
  <c r="G11" i="3"/>
  <c r="F11" i="3"/>
  <c r="AB10" i="3"/>
  <c r="AA10" i="3"/>
  <c r="Z10" i="3"/>
  <c r="Y10" i="3"/>
  <c r="X10" i="3"/>
  <c r="W10" i="3"/>
  <c r="T10" i="3"/>
  <c r="S10" i="3"/>
  <c r="R10" i="3"/>
  <c r="Q10" i="3"/>
  <c r="P10" i="3"/>
  <c r="O10" i="3"/>
  <c r="N10" i="3"/>
  <c r="I10" i="3"/>
  <c r="E10" i="3"/>
  <c r="G10" i="3" s="1"/>
  <c r="D10" i="3"/>
  <c r="AA106" i="2"/>
  <c r="J106" i="2"/>
  <c r="G106" i="2"/>
  <c r="AA105" i="2"/>
  <c r="Y105" i="2"/>
  <c r="X105" i="2"/>
  <c r="W105" i="2"/>
  <c r="W103" i="2" s="1"/>
  <c r="V105" i="2"/>
  <c r="U105" i="2"/>
  <c r="S105" i="2"/>
  <c r="Q105" i="2"/>
  <c r="P105" i="2"/>
  <c r="O105" i="2"/>
  <c r="O103" i="2" s="1"/>
  <c r="N105" i="2"/>
  <c r="K105" i="2"/>
  <c r="G105" i="2"/>
  <c r="G103" i="2" s="1"/>
  <c r="F105" i="2"/>
  <c r="F103" i="2" s="1"/>
  <c r="D105" i="2"/>
  <c r="Y104" i="2"/>
  <c r="W104" i="2"/>
  <c r="U104" i="2"/>
  <c r="S104" i="2"/>
  <c r="R104" i="2"/>
  <c r="R103" i="2" s="1"/>
  <c r="Q104" i="2"/>
  <c r="O104" i="2"/>
  <c r="M104" i="2"/>
  <c r="K104" i="2"/>
  <c r="J104" i="2"/>
  <c r="I104" i="2"/>
  <c r="H104" i="2"/>
  <c r="G104" i="2"/>
  <c r="F104" i="2"/>
  <c r="E104" i="2"/>
  <c r="D104" i="2"/>
  <c r="Y103" i="2"/>
  <c r="U103" i="2"/>
  <c r="S103" i="2"/>
  <c r="Q103" i="2"/>
  <c r="K103" i="2"/>
  <c r="D103" i="2"/>
  <c r="AA93" i="2"/>
  <c r="W93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A27" i="2"/>
  <c r="AA90" i="2"/>
  <c r="Z27" i="2"/>
  <c r="Z90" i="2" s="1"/>
  <c r="Y27" i="2"/>
  <c r="Y90" i="2" s="1"/>
  <c r="X27" i="2"/>
  <c r="X90" i="2" s="1"/>
  <c r="W27" i="2"/>
  <c r="W90" i="2"/>
  <c r="V27" i="2"/>
  <c r="V90" i="2" s="1"/>
  <c r="V88" i="2" s="1"/>
  <c r="U27" i="2"/>
  <c r="U90" i="2" s="1"/>
  <c r="T27" i="2"/>
  <c r="T90" i="2" s="1"/>
  <c r="S27" i="2"/>
  <c r="S90" i="2"/>
  <c r="R27" i="2"/>
  <c r="R90" i="2" s="1"/>
  <c r="Q27" i="2"/>
  <c r="Q90" i="2" s="1"/>
  <c r="P27" i="2"/>
  <c r="P90" i="2" s="1"/>
  <c r="O27" i="2"/>
  <c r="O90" i="2"/>
  <c r="N27" i="2"/>
  <c r="N90" i="2" s="1"/>
  <c r="M27" i="2"/>
  <c r="M90" i="2" s="1"/>
  <c r="L27" i="2"/>
  <c r="L90" i="2" s="1"/>
  <c r="K27" i="2"/>
  <c r="K90" i="2"/>
  <c r="J27" i="2"/>
  <c r="J90" i="2" s="1"/>
  <c r="I27" i="2"/>
  <c r="I90" i="2" s="1"/>
  <c r="H27" i="2"/>
  <c r="H90" i="2" s="1"/>
  <c r="G27" i="2"/>
  <c r="G90" i="2"/>
  <c r="G84" i="2" s="1"/>
  <c r="F27" i="2"/>
  <c r="F90" i="2"/>
  <c r="F84" i="2"/>
  <c r="E78" i="2"/>
  <c r="E90" i="2"/>
  <c r="D27" i="2"/>
  <c r="D90" i="2"/>
  <c r="AC24" i="1"/>
  <c r="AA26" i="2" s="1"/>
  <c r="AA89" i="2" s="1"/>
  <c r="AB24" i="1"/>
  <c r="Z26" i="2" s="1"/>
  <c r="Z89" i="2" s="1"/>
  <c r="AA24" i="1"/>
  <c r="Y26" i="2"/>
  <c r="Y89" i="2" s="1"/>
  <c r="Y88" i="2" s="1"/>
  <c r="Z24" i="1"/>
  <c r="X26" i="2" s="1"/>
  <c r="X89" i="2" s="1"/>
  <c r="X88" i="2" s="1"/>
  <c r="Y24" i="1"/>
  <c r="W26" i="2" s="1"/>
  <c r="W89" i="2"/>
  <c r="W88" i="2" s="1"/>
  <c r="X24" i="1"/>
  <c r="V26" i="2" s="1"/>
  <c r="V89" i="2" s="1"/>
  <c r="W24" i="1"/>
  <c r="U26" i="2" s="1"/>
  <c r="U89" i="2" s="1"/>
  <c r="V24" i="1"/>
  <c r="T26" i="2"/>
  <c r="T89" i="2" s="1"/>
  <c r="T88" i="2" s="1"/>
  <c r="U24" i="1"/>
  <c r="S26" i="2"/>
  <c r="S89" i="2" s="1"/>
  <c r="T24" i="1"/>
  <c r="R26" i="2"/>
  <c r="R77" i="2" s="1"/>
  <c r="S24" i="1"/>
  <c r="Q26" i="2" s="1"/>
  <c r="Q89" i="2" s="1"/>
  <c r="R24" i="1"/>
  <c r="P26" i="2" s="1"/>
  <c r="P89" i="2" s="1"/>
  <c r="P88" i="2"/>
  <c r="Q24" i="1"/>
  <c r="O26" i="2" s="1"/>
  <c r="O89" i="2" s="1"/>
  <c r="O88" i="2" s="1"/>
  <c r="P24" i="1"/>
  <c r="N26" i="2" s="1"/>
  <c r="O24" i="1"/>
  <c r="M26" i="2" s="1"/>
  <c r="N24" i="1"/>
  <c r="L26" i="2" s="1"/>
  <c r="M24" i="1"/>
  <c r="K26" i="2" s="1"/>
  <c r="L24" i="1"/>
  <c r="L22" i="1" s="1"/>
  <c r="J26" i="2"/>
  <c r="J89" i="2" s="1"/>
  <c r="J88" i="2" s="1"/>
  <c r="I26" i="2"/>
  <c r="I89" i="2" s="1"/>
  <c r="I88" i="2" s="1"/>
  <c r="H26" i="2"/>
  <c r="H89" i="2" s="1"/>
  <c r="G26" i="2"/>
  <c r="G89" i="2"/>
  <c r="G88" i="2" s="1"/>
  <c r="F26" i="2"/>
  <c r="F89" i="2" s="1"/>
  <c r="E77" i="2"/>
  <c r="E89" i="2" s="1"/>
  <c r="D26" i="2"/>
  <c r="D89" i="2" s="1"/>
  <c r="D88" i="2" s="1"/>
  <c r="AA78" i="2"/>
  <c r="AA87" i="2"/>
  <c r="Y78" i="2"/>
  <c r="Y87" i="2" s="1"/>
  <c r="X78" i="2"/>
  <c r="X87" i="2" s="1"/>
  <c r="W78" i="2"/>
  <c r="W76" i="2" s="1"/>
  <c r="W87" i="2"/>
  <c r="U78" i="2"/>
  <c r="U87" i="2" s="1"/>
  <c r="T78" i="2"/>
  <c r="T87" i="2" s="1"/>
  <c r="S78" i="2"/>
  <c r="S87" i="2"/>
  <c r="Q78" i="2"/>
  <c r="Q87" i="2" s="1"/>
  <c r="P78" i="2"/>
  <c r="P87" i="2" s="1"/>
  <c r="O78" i="2"/>
  <c r="O75" i="2" s="1"/>
  <c r="O87" i="2"/>
  <c r="M78" i="2"/>
  <c r="M87" i="2" s="1"/>
  <c r="L78" i="2"/>
  <c r="L87" i="2" s="1"/>
  <c r="K78" i="2"/>
  <c r="K87" i="2"/>
  <c r="I78" i="2"/>
  <c r="I87" i="2" s="1"/>
  <c r="D87" i="2"/>
  <c r="Z77" i="2"/>
  <c r="Z86" i="2" s="1"/>
  <c r="W77" i="2"/>
  <c r="W86" i="2"/>
  <c r="V77" i="2"/>
  <c r="V86" i="2" s="1"/>
  <c r="U77" i="2"/>
  <c r="U86" i="2" s="1"/>
  <c r="S77" i="2"/>
  <c r="S86" i="2"/>
  <c r="Q77" i="2"/>
  <c r="Q86" i="2" s="1"/>
  <c r="Q85" i="2" s="1"/>
  <c r="Q82" i="2" s="1"/>
  <c r="P77" i="2"/>
  <c r="P86" i="2"/>
  <c r="O77" i="2"/>
  <c r="O86" i="2" s="1"/>
  <c r="O85" i="2" s="1"/>
  <c r="O82" i="2" s="1"/>
  <c r="D86" i="2"/>
  <c r="D83" i="2" s="1"/>
  <c r="H85" i="2"/>
  <c r="G85" i="2"/>
  <c r="F85" i="2"/>
  <c r="E85" i="2"/>
  <c r="H84" i="2"/>
  <c r="D84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D79" i="2" s="1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H78" i="2"/>
  <c r="H76" i="2" s="1"/>
  <c r="G78" i="2"/>
  <c r="F78" i="2"/>
  <c r="F75" i="2" s="1"/>
  <c r="D78" i="2"/>
  <c r="H77" i="2"/>
  <c r="G77" i="2"/>
  <c r="D77" i="2"/>
  <c r="S76" i="2"/>
  <c r="Q76" i="2"/>
  <c r="P76" i="2"/>
  <c r="G76" i="2"/>
  <c r="D76" i="2"/>
  <c r="AA75" i="2"/>
  <c r="Y75" i="2"/>
  <c r="X75" i="2"/>
  <c r="T75" i="2"/>
  <c r="S75" i="2"/>
  <c r="Q75" i="2"/>
  <c r="P75" i="2"/>
  <c r="L75" i="2"/>
  <c r="K75" i="2"/>
  <c r="I75" i="2"/>
  <c r="G75" i="2"/>
  <c r="E75" i="2"/>
  <c r="D75" i="2"/>
  <c r="W74" i="2"/>
  <c r="S74" i="2"/>
  <c r="Q74" i="2"/>
  <c r="P74" i="2"/>
  <c r="H74" i="2"/>
  <c r="G74" i="2"/>
  <c r="D74" i="2"/>
  <c r="S73" i="2"/>
  <c r="Q73" i="2"/>
  <c r="P73" i="2"/>
  <c r="G73" i="2"/>
  <c r="D73" i="2"/>
  <c r="W71" i="2"/>
  <c r="X71" i="2" s="1"/>
  <c r="Y71" i="2" s="1"/>
  <c r="Z71" i="2" s="1"/>
  <c r="AA71" i="2" s="1"/>
  <c r="W70" i="2"/>
  <c r="X70" i="2" s="1"/>
  <c r="Y70" i="2" s="1"/>
  <c r="Z70" i="2" s="1"/>
  <c r="AA70" i="2" s="1"/>
  <c r="W61" i="2"/>
  <c r="W59" i="2"/>
  <c r="W58" i="2"/>
  <c r="W57" i="2" s="1"/>
  <c r="AA57" i="2"/>
  <c r="Z57" i="2"/>
  <c r="Y57" i="2"/>
  <c r="X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F56" i="2"/>
  <c r="F50" i="2"/>
  <c r="F55" i="2"/>
  <c r="E15" i="2"/>
  <c r="E56" i="2" s="1"/>
  <c r="E55" i="2" s="1"/>
  <c r="D15" i="2"/>
  <c r="D56" i="2" s="1"/>
  <c r="D55" i="2" s="1"/>
  <c r="E50" i="2"/>
  <c r="D50" i="2"/>
  <c r="I51" i="2"/>
  <c r="G51" i="2"/>
  <c r="F51" i="2"/>
  <c r="E51" i="2"/>
  <c r="D51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I36" i="2" s="1"/>
  <c r="H37" i="2"/>
  <c r="H36" i="2" s="1"/>
  <c r="G37" i="2"/>
  <c r="F37" i="2"/>
  <c r="E37" i="2"/>
  <c r="D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G36" i="2"/>
  <c r="F36" i="2"/>
  <c r="E36" i="2"/>
  <c r="D36" i="2"/>
  <c r="Y34" i="2"/>
  <c r="W34" i="2"/>
  <c r="U34" i="2"/>
  <c r="U29" i="2" s="1"/>
  <c r="S34" i="2"/>
  <c r="S29" i="2" s="1"/>
  <c r="S28" i="2" s="1"/>
  <c r="R34" i="2"/>
  <c r="Q34" i="2"/>
  <c r="Q29" i="2" s="1"/>
  <c r="Q28" i="2" s="1"/>
  <c r="O34" i="2"/>
  <c r="O29" i="2" s="1"/>
  <c r="O28" i="2" s="1"/>
  <c r="M34" i="2"/>
  <c r="K34" i="2"/>
  <c r="J34" i="2"/>
  <c r="I34" i="2"/>
  <c r="I29" i="2" s="1"/>
  <c r="H34" i="2"/>
  <c r="H29" i="2" s="1"/>
  <c r="G34" i="2"/>
  <c r="F34" i="2"/>
  <c r="F29" i="2" s="1"/>
  <c r="F28" i="2" s="1"/>
  <c r="E34" i="2"/>
  <c r="E29" i="2" s="1"/>
  <c r="D34" i="2"/>
  <c r="AA33" i="2"/>
  <c r="Z33" i="2"/>
  <c r="Y33" i="2"/>
  <c r="Y30" i="2" s="1"/>
  <c r="Y28" i="2" s="1"/>
  <c r="X33" i="2"/>
  <c r="X30" i="2" s="1"/>
  <c r="W33" i="2"/>
  <c r="V33" i="2"/>
  <c r="V30" i="2" s="1"/>
  <c r="U33" i="2"/>
  <c r="U30" i="2" s="1"/>
  <c r="T33" i="2"/>
  <c r="S33" i="2"/>
  <c r="R33" i="2"/>
  <c r="Q33" i="2"/>
  <c r="Q30" i="2" s="1"/>
  <c r="P33" i="2"/>
  <c r="P30" i="2" s="1"/>
  <c r="O33" i="2"/>
  <c r="N33" i="2"/>
  <c r="N30" i="2" s="1"/>
  <c r="M33" i="2"/>
  <c r="M30" i="2" s="1"/>
  <c r="M28" i="2" s="1"/>
  <c r="L33" i="2"/>
  <c r="K33" i="2"/>
  <c r="J33" i="2"/>
  <c r="I33" i="2"/>
  <c r="I30" i="2" s="1"/>
  <c r="H33" i="2"/>
  <c r="H30" i="2" s="1"/>
  <c r="F33" i="2"/>
  <c r="E33" i="2"/>
  <c r="E30" i="2" s="1"/>
  <c r="D33" i="2"/>
  <c r="AA32" i="2"/>
  <c r="Z32" i="2"/>
  <c r="Y32" i="2"/>
  <c r="X32" i="2"/>
  <c r="W32" i="2"/>
  <c r="W29" i="2" s="1"/>
  <c r="W28" i="2" s="1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J29" i="2" s="1"/>
  <c r="J28" i="2" s="1"/>
  <c r="I32" i="2"/>
  <c r="H32" i="2"/>
  <c r="H31" i="2" s="1"/>
  <c r="F32" i="2"/>
  <c r="F31" i="2" s="1"/>
  <c r="E32" i="2"/>
  <c r="E31" i="2" s="1"/>
  <c r="D32" i="2"/>
  <c r="G31" i="2"/>
  <c r="D31" i="2"/>
  <c r="AA30" i="2"/>
  <c r="Z30" i="2"/>
  <c r="W30" i="2"/>
  <c r="T30" i="2"/>
  <c r="S30" i="2"/>
  <c r="R30" i="2"/>
  <c r="O30" i="2"/>
  <c r="L30" i="2"/>
  <c r="K30" i="2"/>
  <c r="J30" i="2"/>
  <c r="G30" i="2"/>
  <c r="F30" i="2"/>
  <c r="D30" i="2"/>
  <c r="Y29" i="2"/>
  <c r="R29" i="2"/>
  <c r="M29" i="2"/>
  <c r="K29" i="2"/>
  <c r="K28" i="2" s="1"/>
  <c r="G29" i="2"/>
  <c r="D29" i="2"/>
  <c r="D28" i="2" s="1"/>
  <c r="R28" i="2"/>
  <c r="G28" i="2"/>
  <c r="E27" i="2"/>
  <c r="E26" i="2"/>
  <c r="AA25" i="2"/>
  <c r="Z25" i="2"/>
  <c r="W25" i="2"/>
  <c r="U25" i="2"/>
  <c r="S25" i="2"/>
  <c r="R25" i="2"/>
  <c r="Q25" i="2"/>
  <c r="P25" i="2"/>
  <c r="H25" i="2"/>
  <c r="G25" i="2"/>
  <c r="E25" i="2"/>
  <c r="D25" i="2"/>
  <c r="AA24" i="2"/>
  <c r="AA21" i="2" s="1"/>
  <c r="Z24" i="2"/>
  <c r="Z21" i="2" s="1"/>
  <c r="Y24" i="2"/>
  <c r="X24" i="2"/>
  <c r="W24" i="2"/>
  <c r="V24" i="2"/>
  <c r="V21" i="2" s="1"/>
  <c r="U24" i="2"/>
  <c r="U21" i="2" s="1"/>
  <c r="T24" i="2"/>
  <c r="S24" i="2"/>
  <c r="S21" i="2" s="1"/>
  <c r="R24" i="2"/>
  <c r="R21" i="2" s="1"/>
  <c r="Q24" i="2"/>
  <c r="P24" i="2"/>
  <c r="O24" i="2"/>
  <c r="N24" i="2"/>
  <c r="N21" i="2" s="1"/>
  <c r="M24" i="2"/>
  <c r="M21" i="2" s="1"/>
  <c r="L24" i="2"/>
  <c r="K24" i="2"/>
  <c r="K21" i="2" s="1"/>
  <c r="J24" i="2"/>
  <c r="J21" i="2" s="1"/>
  <c r="I24" i="2"/>
  <c r="H24" i="2"/>
  <c r="F24" i="2"/>
  <c r="E24" i="2"/>
  <c r="E22" i="2" s="1"/>
  <c r="D24" i="2"/>
  <c r="D21" i="2" s="1"/>
  <c r="AA23" i="2"/>
  <c r="Z23" i="2"/>
  <c r="Z20" i="2" s="1"/>
  <c r="Y23" i="2"/>
  <c r="X23" i="2"/>
  <c r="W23" i="2"/>
  <c r="W20" i="2" s="1"/>
  <c r="V23" i="2"/>
  <c r="U23" i="2"/>
  <c r="U20" i="2" s="1"/>
  <c r="T23" i="2"/>
  <c r="T20" i="2" s="1"/>
  <c r="S23" i="2"/>
  <c r="R23" i="2"/>
  <c r="R20" i="2" s="1"/>
  <c r="Q23" i="2"/>
  <c r="P23" i="2"/>
  <c r="O23" i="2"/>
  <c r="O20" i="2" s="1"/>
  <c r="N23" i="2"/>
  <c r="M23" i="2"/>
  <c r="L23" i="2"/>
  <c r="K23" i="2"/>
  <c r="J23" i="2"/>
  <c r="J20" i="2" s="1"/>
  <c r="I23" i="2"/>
  <c r="H23" i="2"/>
  <c r="E23" i="2"/>
  <c r="D23" i="2"/>
  <c r="D22" i="2" s="1"/>
  <c r="H22" i="2"/>
  <c r="G22" i="2"/>
  <c r="Y21" i="2"/>
  <c r="X21" i="2"/>
  <c r="W21" i="2"/>
  <c r="T21" i="2"/>
  <c r="Q21" i="2"/>
  <c r="P21" i="2"/>
  <c r="O21" i="2"/>
  <c r="L21" i="2"/>
  <c r="I21" i="2"/>
  <c r="H21" i="2"/>
  <c r="G21" i="2"/>
  <c r="F21" i="2"/>
  <c r="AA20" i="2"/>
  <c r="Y20" i="2"/>
  <c r="X20" i="2"/>
  <c r="V20" i="2"/>
  <c r="S20" i="2"/>
  <c r="Q20" i="2"/>
  <c r="P20" i="2"/>
  <c r="I20" i="2"/>
  <c r="H20" i="2"/>
  <c r="G20" i="2"/>
  <c r="E20" i="2"/>
  <c r="Y15" i="2"/>
  <c r="Y18" i="2" s="1"/>
  <c r="W15" i="2"/>
  <c r="W18" i="2"/>
  <c r="U15" i="2"/>
  <c r="U18" i="2"/>
  <c r="S15" i="2"/>
  <c r="S18" i="2" s="1"/>
  <c r="R15" i="2"/>
  <c r="R18" i="2" s="1"/>
  <c r="Q15" i="2"/>
  <c r="Q18" i="2"/>
  <c r="O15" i="2"/>
  <c r="O18" i="2"/>
  <c r="M15" i="2"/>
  <c r="M18" i="2" s="1"/>
  <c r="K15" i="2"/>
  <c r="K18" i="2" s="1"/>
  <c r="J15" i="2"/>
  <c r="J18" i="2"/>
  <c r="I15" i="2"/>
  <c r="I18" i="2"/>
  <c r="H15" i="2"/>
  <c r="H18" i="2" s="1"/>
  <c r="G15" i="2"/>
  <c r="G18" i="2" s="1"/>
  <c r="F15" i="2"/>
  <c r="F18" i="2"/>
  <c r="D18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C61" i="1"/>
  <c r="AB61" i="1"/>
  <c r="AB59" i="1" s="1"/>
  <c r="AA61" i="1"/>
  <c r="Z61" i="1"/>
  <c r="Y61" i="1"/>
  <c r="Y59" i="1" s="1"/>
  <c r="X61" i="1"/>
  <c r="X59" i="1" s="1"/>
  <c r="W61" i="1"/>
  <c r="V61" i="1"/>
  <c r="U61" i="1"/>
  <c r="T61" i="1"/>
  <c r="T59" i="1" s="1"/>
  <c r="S61" i="1"/>
  <c r="R61" i="1"/>
  <c r="Q61" i="1"/>
  <c r="Q59" i="1" s="1"/>
  <c r="P61" i="1"/>
  <c r="P59" i="1" s="1"/>
  <c r="O61" i="1"/>
  <c r="N61" i="1"/>
  <c r="M61" i="1"/>
  <c r="L61" i="1"/>
  <c r="L59" i="1" s="1"/>
  <c r="K61" i="1"/>
  <c r="J58" i="1"/>
  <c r="J61" i="1"/>
  <c r="J59" i="1" s="1"/>
  <c r="AC59" i="1"/>
  <c r="AA59" i="1"/>
  <c r="Z59" i="1"/>
  <c r="W59" i="1"/>
  <c r="V59" i="1"/>
  <c r="U59" i="1"/>
  <c r="S59" i="1"/>
  <c r="R59" i="1"/>
  <c r="O59" i="1"/>
  <c r="N59" i="1"/>
  <c r="M59" i="1"/>
  <c r="K59" i="1"/>
  <c r="I59" i="1"/>
  <c r="H59" i="1"/>
  <c r="G59" i="1"/>
  <c r="F59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X55" i="1"/>
  <c r="Y55" i="1" s="1"/>
  <c r="W55" i="1"/>
  <c r="W53" i="1" s="1"/>
  <c r="V55" i="1"/>
  <c r="V53" i="1" s="1"/>
  <c r="U55" i="1"/>
  <c r="U53" i="1" s="1"/>
  <c r="T55" i="1"/>
  <c r="S55" i="1"/>
  <c r="S53" i="1"/>
  <c r="R55" i="1"/>
  <c r="R53" i="1" s="1"/>
  <c r="Q55" i="1"/>
  <c r="Q53" i="1"/>
  <c r="P55" i="1"/>
  <c r="P53" i="1" s="1"/>
  <c r="O55" i="1"/>
  <c r="O53" i="1" s="1"/>
  <c r="N55" i="1"/>
  <c r="M55" i="1"/>
  <c r="M53" i="1"/>
  <c r="L55" i="1"/>
  <c r="K55" i="1"/>
  <c r="J49" i="1"/>
  <c r="J52" i="1" s="1"/>
  <c r="G55" i="1"/>
  <c r="K54" i="1"/>
  <c r="K53" i="1" s="1"/>
  <c r="J54" i="1"/>
  <c r="I54" i="1"/>
  <c r="G54" i="1"/>
  <c r="T53" i="1"/>
  <c r="N53" i="1"/>
  <c r="L53" i="1"/>
  <c r="I53" i="1"/>
  <c r="H53" i="1"/>
  <c r="G53" i="1"/>
  <c r="F53" i="1"/>
  <c r="AB52" i="1"/>
  <c r="AB50" i="1" s="1"/>
  <c r="AA52" i="1"/>
  <c r="Y52" i="1"/>
  <c r="X52" i="1"/>
  <c r="X50" i="1"/>
  <c r="W52" i="1"/>
  <c r="W50" i="1" s="1"/>
  <c r="V52" i="1"/>
  <c r="V50" i="1"/>
  <c r="U52" i="1"/>
  <c r="U50" i="1" s="1"/>
  <c r="T52" i="1"/>
  <c r="T50" i="1"/>
  <c r="S52" i="1"/>
  <c r="R52" i="1"/>
  <c r="R50" i="1"/>
  <c r="Q52" i="1"/>
  <c r="P52" i="1"/>
  <c r="P50" i="1" s="1"/>
  <c r="O52" i="1"/>
  <c r="O50" i="1" s="1"/>
  <c r="N52" i="1"/>
  <c r="N50" i="1" s="1"/>
  <c r="M52" i="1"/>
  <c r="M50" i="1" s="1"/>
  <c r="L52" i="1"/>
  <c r="L50" i="1" s="1"/>
  <c r="K52" i="1"/>
  <c r="K50" i="1" s="1"/>
  <c r="AA50" i="1"/>
  <c r="Y50" i="1"/>
  <c r="S50" i="1"/>
  <c r="Q50" i="1"/>
  <c r="I50" i="1"/>
  <c r="H50" i="1"/>
  <c r="G50" i="1"/>
  <c r="F50" i="1"/>
  <c r="X49" i="1"/>
  <c r="Y49" i="1"/>
  <c r="Z49" i="1" s="1"/>
  <c r="W49" i="1"/>
  <c r="W47" i="1" s="1"/>
  <c r="V49" i="1"/>
  <c r="U49" i="1"/>
  <c r="U47" i="1"/>
  <c r="T49" i="1"/>
  <c r="S49" i="1"/>
  <c r="S47" i="1"/>
  <c r="R49" i="1"/>
  <c r="R47" i="1" s="1"/>
  <c r="Q49" i="1"/>
  <c r="Q47" i="1" s="1"/>
  <c r="P49" i="1"/>
  <c r="O49" i="1"/>
  <c r="O47" i="1"/>
  <c r="N49" i="1"/>
  <c r="M49" i="1"/>
  <c r="M47" i="1" s="1"/>
  <c r="L49" i="1"/>
  <c r="K49" i="1"/>
  <c r="X47" i="1"/>
  <c r="V47" i="1"/>
  <c r="T47" i="1"/>
  <c r="P47" i="1"/>
  <c r="N47" i="1"/>
  <c r="L47" i="1"/>
  <c r="K47" i="1"/>
  <c r="I47" i="1"/>
  <c r="H47" i="1"/>
  <c r="G47" i="1"/>
  <c r="F47" i="1"/>
  <c r="K44" i="1"/>
  <c r="J44" i="1"/>
  <c r="I44" i="1"/>
  <c r="H44" i="1"/>
  <c r="G44" i="1"/>
  <c r="F44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Y37" i="1"/>
  <c r="Z37" i="1" s="1"/>
  <c r="AA37" i="1" s="1"/>
  <c r="AB37" i="1" s="1"/>
  <c r="AC37" i="1" s="1"/>
  <c r="Y36" i="1"/>
  <c r="Z36" i="1"/>
  <c r="AA36" i="1" s="1"/>
  <c r="AB36" i="1" s="1"/>
  <c r="AC36" i="1" s="1"/>
  <c r="Y35" i="1"/>
  <c r="Z35" i="1"/>
  <c r="AA35" i="1"/>
  <c r="AB35" i="1" s="1"/>
  <c r="AC35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Y31" i="1"/>
  <c r="Z31" i="1" s="1"/>
  <c r="AA31" i="1" s="1"/>
  <c r="AB31" i="1" s="1"/>
  <c r="AC31" i="1" s="1"/>
  <c r="Y30" i="1"/>
  <c r="Z30" i="1" s="1"/>
  <c r="AA30" i="1" s="1"/>
  <c r="AB30" i="1" s="1"/>
  <c r="AC30" i="1" s="1"/>
  <c r="X29" i="1"/>
  <c r="Y29" i="1" s="1"/>
  <c r="Z29" i="1" s="1"/>
  <c r="AA29" i="1" s="1"/>
  <c r="AB29" i="1" s="1"/>
  <c r="AC29" i="1" s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X26" i="1"/>
  <c r="Y26" i="1" s="1"/>
  <c r="Z26" i="1" s="1"/>
  <c r="AA26" i="1" s="1"/>
  <c r="AB26" i="1" s="1"/>
  <c r="AC26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Y25" i="1"/>
  <c r="Z25" i="1" s="1"/>
  <c r="AA25" i="1" s="1"/>
  <c r="AB25" i="1" s="1"/>
  <c r="AC25" i="1" s="1"/>
  <c r="AC22" i="1"/>
  <c r="AB22" i="1"/>
  <c r="AA22" i="1"/>
  <c r="Z22" i="1"/>
  <c r="Y22" i="1"/>
  <c r="X22" i="1"/>
  <c r="W22" i="1"/>
  <c r="V22" i="1"/>
  <c r="U22" i="1"/>
  <c r="T22" i="1"/>
  <c r="S22" i="1"/>
  <c r="R22" i="1"/>
  <c r="O22" i="1"/>
  <c r="M22" i="1"/>
  <c r="K22" i="1"/>
  <c r="J22" i="1"/>
  <c r="I22" i="1"/>
  <c r="H22" i="1"/>
  <c r="G22" i="1"/>
  <c r="F22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L98" i="2"/>
  <c r="L97" i="2" s="1"/>
  <c r="L96" i="2" s="1"/>
  <c r="L15" i="2"/>
  <c r="L18" i="2" s="1"/>
  <c r="L34" i="2"/>
  <c r="L29" i="2" s="1"/>
  <c r="L28" i="2" s="1"/>
  <c r="L104" i="2"/>
  <c r="L103" i="2"/>
  <c r="I55" i="2"/>
  <c r="I98" i="2"/>
  <c r="N45" i="1"/>
  <c r="L56" i="2" s="1"/>
  <c r="L55" i="2" s="1"/>
  <c r="J98" i="2"/>
  <c r="T98" i="2"/>
  <c r="T97" i="2" s="1"/>
  <c r="T96" i="2" s="1"/>
  <c r="T15" i="2"/>
  <c r="T18" i="2" s="1"/>
  <c r="T34" i="2"/>
  <c r="T29" i="2"/>
  <c r="T28" i="2"/>
  <c r="T104" i="2"/>
  <c r="T103" i="2"/>
  <c r="H100" i="2"/>
  <c r="I100" i="2"/>
  <c r="G97" i="3"/>
  <c r="E103" i="3"/>
  <c r="E101" i="3" s="1"/>
  <c r="F110" i="3"/>
  <c r="J100" i="2"/>
  <c r="P98" i="2"/>
  <c r="P97" i="2"/>
  <c r="P104" i="2"/>
  <c r="P103" i="2"/>
  <c r="P34" i="2"/>
  <c r="P29" i="2" s="1"/>
  <c r="P15" i="2"/>
  <c r="P18" i="2" s="1"/>
  <c r="V98" i="2"/>
  <c r="V97" i="2" s="1"/>
  <c r="V96" i="2" s="1"/>
  <c r="V15" i="2"/>
  <c r="V18" i="2"/>
  <c r="V104" i="2"/>
  <c r="V103" i="2"/>
  <c r="V34" i="2"/>
  <c r="V29" i="2" s="1"/>
  <c r="V28" i="2" s="1"/>
  <c r="D106" i="2"/>
  <c r="E106" i="2"/>
  <c r="F106" i="2"/>
  <c r="N98" i="2"/>
  <c r="N97" i="2" s="1"/>
  <c r="N15" i="2"/>
  <c r="N18" i="2"/>
  <c r="N104" i="2"/>
  <c r="N103" i="2"/>
  <c r="N34" i="2"/>
  <c r="N29" i="2"/>
  <c r="N28" i="2" s="1"/>
  <c r="Z98" i="2"/>
  <c r="Z97" i="2"/>
  <c r="Z15" i="2"/>
  <c r="Z18" i="2"/>
  <c r="Z104" i="2"/>
  <c r="Z103" i="2" s="1"/>
  <c r="Z34" i="2"/>
  <c r="Z29" i="2" s="1"/>
  <c r="Z28" i="2" s="1"/>
  <c r="G83" i="2"/>
  <c r="I97" i="2"/>
  <c r="AC46" i="1"/>
  <c r="W85" i="2"/>
  <c r="W82" i="2" s="1"/>
  <c r="U88" i="2"/>
  <c r="F97" i="3"/>
  <c r="H98" i="2"/>
  <c r="H97" i="2"/>
  <c r="J97" i="2"/>
  <c r="J96" i="2" s="1"/>
  <c r="S85" i="2"/>
  <c r="Z88" i="2"/>
  <c r="Q88" i="2"/>
  <c r="F98" i="3"/>
  <c r="G107" i="3"/>
  <c r="Y47" i="1"/>
  <c r="E84" i="2"/>
  <c r="E82" i="3"/>
  <c r="F88" i="3"/>
  <c r="E86" i="3"/>
  <c r="E81" i="3"/>
  <c r="E19" i="3"/>
  <c r="E23" i="3"/>
  <c r="F23" i="3" s="1"/>
  <c r="F24" i="3"/>
  <c r="E75" i="3"/>
  <c r="G98" i="3"/>
  <c r="D103" i="3"/>
  <c r="D101" i="3" s="1"/>
  <c r="F107" i="3"/>
  <c r="Q98" i="2"/>
  <c r="Q97" i="2" s="1"/>
  <c r="Q96" i="2" s="1"/>
  <c r="Q101" i="2"/>
  <c r="Q100" i="2"/>
  <c r="D95" i="3"/>
  <c r="D94" i="3"/>
  <c r="G110" i="3"/>
  <c r="O98" i="2"/>
  <c r="O97" i="2"/>
  <c r="O101" i="2"/>
  <c r="O100" i="2"/>
  <c r="O96" i="2" s="1"/>
  <c r="W98" i="2"/>
  <c r="W97" i="2" s="1"/>
  <c r="W101" i="2"/>
  <c r="W100" i="2" s="1"/>
  <c r="Y98" i="2"/>
  <c r="Y97" i="2"/>
  <c r="Y101" i="2"/>
  <c r="Y100" i="2"/>
  <c r="M98" i="2"/>
  <c r="M97" i="2" s="1"/>
  <c r="M101" i="2"/>
  <c r="M100" i="2" s="1"/>
  <c r="U98" i="2"/>
  <c r="U97" i="2"/>
  <c r="U101" i="2"/>
  <c r="U100" i="2"/>
  <c r="U96" i="2" s="1"/>
  <c r="E94" i="3"/>
  <c r="G94" i="3" s="1"/>
  <c r="K98" i="2"/>
  <c r="K97" i="2" s="1"/>
  <c r="K96" i="2" s="1"/>
  <c r="K101" i="2"/>
  <c r="K100" i="2"/>
  <c r="S98" i="2"/>
  <c r="S97" i="2"/>
  <c r="S101" i="2"/>
  <c r="S100" i="2" s="1"/>
  <c r="N101" i="2"/>
  <c r="N100" i="2" s="1"/>
  <c r="R101" i="2"/>
  <c r="R100" i="2" s="1"/>
  <c r="R96" i="2" s="1"/>
  <c r="V101" i="2"/>
  <c r="V100" i="2"/>
  <c r="Z46" i="1"/>
  <c r="Z101" i="2"/>
  <c r="Z100" i="2" s="1"/>
  <c r="Z96" i="2" s="1"/>
  <c r="L101" i="2"/>
  <c r="L100" i="2"/>
  <c r="P101" i="2"/>
  <c r="P100" i="2"/>
  <c r="T101" i="2"/>
  <c r="T100" i="2" s="1"/>
  <c r="H96" i="2"/>
  <c r="AC52" i="1"/>
  <c r="AC50" i="1" s="1"/>
  <c r="I96" i="2"/>
  <c r="P96" i="2"/>
  <c r="E72" i="3"/>
  <c r="G75" i="3"/>
  <c r="F75" i="3"/>
  <c r="E74" i="3"/>
  <c r="G19" i="3"/>
  <c r="F19" i="3"/>
  <c r="Z52" i="1"/>
  <c r="Z50" i="1" s="1"/>
  <c r="Y96" i="2"/>
  <c r="G95" i="3"/>
  <c r="F95" i="3"/>
  <c r="G23" i="3"/>
  <c r="AA104" i="2"/>
  <c r="AA103" i="2" s="1"/>
  <c r="AA34" i="2"/>
  <c r="AA29" i="2" s="1"/>
  <c r="AA28" i="2" s="1"/>
  <c r="AA15" i="2"/>
  <c r="AA18" i="2"/>
  <c r="AA97" i="2"/>
  <c r="AA100" i="2"/>
  <c r="AA96" i="2" s="1"/>
  <c r="X98" i="2"/>
  <c r="X97" i="2" s="1"/>
  <c r="X96" i="2" s="1"/>
  <c r="X101" i="2"/>
  <c r="X100" i="2"/>
  <c r="X15" i="2"/>
  <c r="X18" i="2"/>
  <c r="X34" i="2"/>
  <c r="X29" i="2" s="1"/>
  <c r="X104" i="2"/>
  <c r="X103" i="2"/>
  <c r="F101" i="3" l="1"/>
  <c r="G101" i="3"/>
  <c r="E28" i="2"/>
  <c r="E88" i="2"/>
  <c r="E82" i="2" s="1"/>
  <c r="E83" i="2"/>
  <c r="K25" i="2"/>
  <c r="K89" i="2"/>
  <c r="K88" i="2" s="1"/>
  <c r="K20" i="2"/>
  <c r="K77" i="2"/>
  <c r="R74" i="2"/>
  <c r="R86" i="2"/>
  <c r="P28" i="2"/>
  <c r="J50" i="1"/>
  <c r="J55" i="1"/>
  <c r="P85" i="2"/>
  <c r="P82" i="2" s="1"/>
  <c r="F83" i="2"/>
  <c r="F88" i="2"/>
  <c r="F82" i="2" s="1"/>
  <c r="L25" i="2"/>
  <c r="L89" i="2"/>
  <c r="L88" i="2" s="1"/>
  <c r="L77" i="2"/>
  <c r="Y53" i="1"/>
  <c r="Z55" i="1"/>
  <c r="M25" i="2"/>
  <c r="M77" i="2"/>
  <c r="M89" i="2"/>
  <c r="M88" i="2" s="1"/>
  <c r="S96" i="2"/>
  <c r="H28" i="2"/>
  <c r="N56" i="2"/>
  <c r="N55" i="2" s="1"/>
  <c r="P44" i="1"/>
  <c r="X28" i="2"/>
  <c r="W96" i="2"/>
  <c r="I28" i="2"/>
  <c r="U28" i="2"/>
  <c r="H88" i="2"/>
  <c r="H82" i="2" s="1"/>
  <c r="H83" i="2"/>
  <c r="L20" i="2"/>
  <c r="G82" i="2"/>
  <c r="N77" i="2"/>
  <c r="N20" i="2"/>
  <c r="N89" i="2"/>
  <c r="N88" i="2" s="1"/>
  <c r="N25" i="2"/>
  <c r="D81" i="3"/>
  <c r="G87" i="3"/>
  <c r="D86" i="3"/>
  <c r="D80" i="3" s="1"/>
  <c r="F87" i="3"/>
  <c r="M96" i="2"/>
  <c r="G81" i="3"/>
  <c r="N96" i="2"/>
  <c r="AA49" i="1"/>
  <c r="Z47" i="1"/>
  <c r="J53" i="1"/>
  <c r="M20" i="2"/>
  <c r="U85" i="2"/>
  <c r="U82" i="2" s="1"/>
  <c r="AE83" i="3"/>
  <c r="AE80" i="3" s="1"/>
  <c r="AE81" i="3"/>
  <c r="G109" i="3"/>
  <c r="E108" i="3"/>
  <c r="CH59" i="5"/>
  <c r="CF64" i="5"/>
  <c r="I29" i="3"/>
  <c r="M108" i="2"/>
  <c r="M111" i="2"/>
  <c r="Q54" i="3"/>
  <c r="Q53" i="3" s="1"/>
  <c r="Q16" i="3"/>
  <c r="F103" i="3"/>
  <c r="N44" i="1"/>
  <c r="G88" i="3"/>
  <c r="J47" i="1"/>
  <c r="O25" i="2"/>
  <c r="E74" i="2"/>
  <c r="E73" i="2" s="1"/>
  <c r="U74" i="2"/>
  <c r="U73" i="2" s="1"/>
  <c r="M75" i="2"/>
  <c r="U75" i="2"/>
  <c r="E76" i="2"/>
  <c r="U76" i="2"/>
  <c r="F77" i="2"/>
  <c r="AA77" i="2"/>
  <c r="AE22" i="3"/>
  <c r="AD19" i="3"/>
  <c r="AE19" i="3" s="1"/>
  <c r="S26" i="3"/>
  <c r="F51" i="3"/>
  <c r="Y54" i="3"/>
  <c r="Y53" i="3" s="1"/>
  <c r="Y16" i="3"/>
  <c r="N74" i="3"/>
  <c r="N73" i="3"/>
  <c r="N71" i="3" s="1"/>
  <c r="V74" i="3"/>
  <c r="V73" i="3"/>
  <c r="V71" i="3" s="1"/>
  <c r="G25" i="3"/>
  <c r="D76" i="3"/>
  <c r="F25" i="3"/>
  <c r="M107" i="2"/>
  <c r="Q110" i="2"/>
  <c r="Q106" i="2" s="1"/>
  <c r="T110" i="2"/>
  <c r="Y110" i="2"/>
  <c r="Y106" i="2" s="1"/>
  <c r="AB45" i="1"/>
  <c r="U45" i="1"/>
  <c r="O45" i="1"/>
  <c r="J56" i="2"/>
  <c r="J55" i="2" s="1"/>
  <c r="F25" i="2"/>
  <c r="N27" i="3"/>
  <c r="N26" i="3" s="1"/>
  <c r="N29" i="3"/>
  <c r="H111" i="2"/>
  <c r="H110" i="2" s="1"/>
  <c r="H108" i="2"/>
  <c r="H107" i="2" s="1"/>
  <c r="H106" i="2" s="1"/>
  <c r="F82" i="3"/>
  <c r="F81" i="3"/>
  <c r="F94" i="3"/>
  <c r="AA45" i="1"/>
  <c r="Y45" i="1"/>
  <c r="M45" i="1"/>
  <c r="P22" i="1"/>
  <c r="L44" i="1"/>
  <c r="F23" i="2"/>
  <c r="X25" i="2"/>
  <c r="V74" i="2"/>
  <c r="D85" i="2"/>
  <c r="D82" i="2" s="1"/>
  <c r="I77" i="2"/>
  <c r="T77" i="2"/>
  <c r="V20" i="3"/>
  <c r="AE32" i="3"/>
  <c r="AD27" i="3"/>
  <c r="G51" i="3"/>
  <c r="G24" i="3"/>
  <c r="D18" i="3"/>
  <c r="R81" i="3"/>
  <c r="R86" i="3"/>
  <c r="R80" i="3" s="1"/>
  <c r="Z81" i="3"/>
  <c r="Z86" i="3"/>
  <c r="Z80" i="3" s="1"/>
  <c r="AE105" i="3"/>
  <c r="AD104" i="3"/>
  <c r="AE104" i="3" s="1"/>
  <c r="T108" i="2"/>
  <c r="T107" i="2" s="1"/>
  <c r="T106" i="2" s="1"/>
  <c r="P37" i="5"/>
  <c r="O24" i="5"/>
  <c r="P24" i="5" s="1"/>
  <c r="M110" i="2"/>
  <c r="N22" i="1"/>
  <c r="V27" i="3"/>
  <c r="V26" i="3" s="1"/>
  <c r="V29" i="3"/>
  <c r="E71" i="3"/>
  <c r="G103" i="3"/>
  <c r="V45" i="1"/>
  <c r="X45" i="1"/>
  <c r="Q22" i="1"/>
  <c r="D20" i="2"/>
  <c r="I25" i="2"/>
  <c r="Y25" i="2"/>
  <c r="O74" i="2"/>
  <c r="O73" i="2" s="1"/>
  <c r="W75" i="2"/>
  <c r="W73" i="2" s="1"/>
  <c r="O76" i="2"/>
  <c r="X77" i="2"/>
  <c r="R89" i="2"/>
  <c r="R88" i="2" s="1"/>
  <c r="AA88" i="2"/>
  <c r="P19" i="3"/>
  <c r="P20" i="3"/>
  <c r="X19" i="3"/>
  <c r="X20" i="3"/>
  <c r="P34" i="3"/>
  <c r="X34" i="3"/>
  <c r="G48" i="3"/>
  <c r="Q82" i="3"/>
  <c r="Y82" i="3"/>
  <c r="L110" i="2"/>
  <c r="G76" i="3"/>
  <c r="V25" i="2"/>
  <c r="G28" i="3"/>
  <c r="F28" i="3"/>
  <c r="E26" i="3"/>
  <c r="G16" i="3"/>
  <c r="F16" i="3"/>
  <c r="T45" i="1"/>
  <c r="Q45" i="1"/>
  <c r="X53" i="1"/>
  <c r="E21" i="2"/>
  <c r="J25" i="2"/>
  <c r="H75" i="2"/>
  <c r="H73" i="2" s="1"/>
  <c r="AC29" i="3"/>
  <c r="D74" i="3"/>
  <c r="D72" i="3"/>
  <c r="T72" i="3"/>
  <c r="T71" i="3" s="1"/>
  <c r="T74" i="3"/>
  <c r="AB72" i="3"/>
  <c r="AB71" i="3" s="1"/>
  <c r="AB74" i="3"/>
  <c r="E105" i="3"/>
  <c r="L108" i="2"/>
  <c r="L107" i="2" s="1"/>
  <c r="L106" i="2" s="1"/>
  <c r="CF9" i="5"/>
  <c r="L68" i="5"/>
  <c r="N59" i="5"/>
  <c r="L64" i="5"/>
  <c r="L69" i="5" s="1"/>
  <c r="AB59" i="5"/>
  <c r="AB9" i="5"/>
  <c r="AE9" i="5" s="1"/>
  <c r="AH9" i="5" s="1"/>
  <c r="AK9" i="5" s="1"/>
  <c r="AN9" i="5" s="1"/>
  <c r="AQ9" i="5" s="1"/>
  <c r="AT9" i="5" s="1"/>
  <c r="AW9" i="5" s="1"/>
  <c r="AZ9" i="5" s="1"/>
  <c r="BC9" i="5" s="1"/>
  <c r="BF9" i="5" s="1"/>
  <c r="BI9" i="5" s="1"/>
  <c r="BL9" i="5" s="1"/>
  <c r="BO9" i="5" s="1"/>
  <c r="BR9" i="5" s="1"/>
  <c r="BU9" i="5" s="1"/>
  <c r="AE10" i="5"/>
  <c r="AH10" i="5" s="1"/>
  <c r="AK10" i="5" s="1"/>
  <c r="AN10" i="5" s="1"/>
  <c r="AQ10" i="5" s="1"/>
  <c r="AT10" i="5" s="1"/>
  <c r="AW10" i="5" s="1"/>
  <c r="AZ10" i="5" s="1"/>
  <c r="BC10" i="5" s="1"/>
  <c r="BF10" i="5" s="1"/>
  <c r="BI10" i="5" s="1"/>
  <c r="BL10" i="5" s="1"/>
  <c r="BO10" i="5" s="1"/>
  <c r="BR10" i="5" s="1"/>
  <c r="BU10" i="5" s="1"/>
  <c r="Z45" i="1"/>
  <c r="R45" i="1"/>
  <c r="AC45" i="1"/>
  <c r="J77" i="2"/>
  <c r="Y77" i="2"/>
  <c r="O18" i="3"/>
  <c r="O20" i="3"/>
  <c r="W18" i="3"/>
  <c r="W20" i="3"/>
  <c r="AD18" i="3"/>
  <c r="AE18" i="3" s="1"/>
  <c r="AD20" i="3"/>
  <c r="AE20" i="3" s="1"/>
  <c r="F27" i="3"/>
  <c r="D26" i="3"/>
  <c r="I72" i="3"/>
  <c r="I71" i="3" s="1"/>
  <c r="I74" i="3"/>
  <c r="U72" i="3"/>
  <c r="U71" i="3" s="1"/>
  <c r="U74" i="3"/>
  <c r="AC72" i="3"/>
  <c r="AC71" i="3" s="1"/>
  <c r="AC74" i="3"/>
  <c r="D109" i="3"/>
  <c r="F109" i="3" s="1"/>
  <c r="D106" i="3"/>
  <c r="G106" i="3" s="1"/>
  <c r="U110" i="2"/>
  <c r="AD69" i="5"/>
  <c r="G29" i="3"/>
  <c r="F29" i="3"/>
  <c r="G53" i="3"/>
  <c r="F53" i="3"/>
  <c r="W45" i="1"/>
  <c r="F86" i="3"/>
  <c r="S45" i="1"/>
  <c r="E18" i="2"/>
  <c r="T25" i="2"/>
  <c r="Z74" i="2"/>
  <c r="J78" i="2"/>
  <c r="N78" i="2"/>
  <c r="R78" i="2"/>
  <c r="R76" i="2" s="1"/>
  <c r="V78" i="2"/>
  <c r="V76" i="2" s="1"/>
  <c r="Z78" i="2"/>
  <c r="S88" i="2"/>
  <c r="S82" i="2" s="1"/>
  <c r="U29" i="3"/>
  <c r="O28" i="3"/>
  <c r="O26" i="3" s="1"/>
  <c r="O29" i="3"/>
  <c r="W28" i="3"/>
  <c r="W26" i="3" s="1"/>
  <c r="W29" i="3"/>
  <c r="AD28" i="3"/>
  <c r="AE28" i="3" s="1"/>
  <c r="AD29" i="3"/>
  <c r="AE29" i="3" s="1"/>
  <c r="G54" i="3"/>
  <c r="G84" i="3"/>
  <c r="F84" i="3"/>
  <c r="E83" i="3"/>
  <c r="D108" i="3"/>
  <c r="E100" i="2"/>
  <c r="E96" i="2" s="1"/>
  <c r="E105" i="2"/>
  <c r="E103" i="2" s="1"/>
  <c r="U108" i="2"/>
  <c r="U107" i="2" s="1"/>
  <c r="U106" i="2" s="1"/>
  <c r="U111" i="2"/>
  <c r="W59" i="5"/>
  <c r="V61" i="5"/>
  <c r="V60" i="5" s="1"/>
  <c r="W60" i="5"/>
  <c r="CY28" i="5"/>
  <c r="DB28" i="5" s="1"/>
  <c r="DE28" i="5" s="1"/>
  <c r="DH28" i="5" s="1"/>
  <c r="DK28" i="5" s="1"/>
  <c r="DN28" i="5" s="1"/>
  <c r="DQ28" i="5" s="1"/>
  <c r="DT28" i="5" s="1"/>
  <c r="DW28" i="5" s="1"/>
  <c r="DZ28" i="5" s="1"/>
  <c r="EC28" i="5" s="1"/>
  <c r="EF28" i="5" s="1"/>
  <c r="EI28" i="5" s="1"/>
  <c r="EL28" i="5" s="1"/>
  <c r="EO28" i="5" s="1"/>
  <c r="CV24" i="5"/>
  <c r="CY24" i="5" s="1"/>
  <c r="DB24" i="5" s="1"/>
  <c r="DE24" i="5" s="1"/>
  <c r="DH24" i="5" s="1"/>
  <c r="DK24" i="5" s="1"/>
  <c r="DN24" i="5" s="1"/>
  <c r="DQ24" i="5" s="1"/>
  <c r="DT24" i="5" s="1"/>
  <c r="DW24" i="5" s="1"/>
  <c r="DZ24" i="5" s="1"/>
  <c r="EC24" i="5" s="1"/>
  <c r="EF24" i="5" s="1"/>
  <c r="EI24" i="5" s="1"/>
  <c r="EL24" i="5" s="1"/>
  <c r="EO24" i="5" s="1"/>
  <c r="G32" i="6"/>
  <c r="C10" i="6"/>
  <c r="AC60" i="5"/>
  <c r="AC64" i="5" s="1"/>
  <c r="AB61" i="5"/>
  <c r="AB60" i="5" s="1"/>
  <c r="CI59" i="5"/>
  <c r="Q33" i="6"/>
  <c r="Q9" i="6"/>
  <c r="Q32" i="6" s="1"/>
  <c r="DV91" i="10"/>
  <c r="DV62" i="10"/>
  <c r="DV66" i="10" s="1"/>
  <c r="H33" i="11"/>
  <c r="H8" i="11"/>
  <c r="H31" i="11" s="1"/>
  <c r="F10" i="3"/>
  <c r="F22" i="3"/>
  <c r="F32" i="3"/>
  <c r="F35" i="3"/>
  <c r="F85" i="3"/>
  <c r="CI9" i="5"/>
  <c r="CJ9" i="5" s="1"/>
  <c r="AE11" i="5"/>
  <c r="AH11" i="5" s="1"/>
  <c r="AK11" i="5" s="1"/>
  <c r="AN11" i="5" s="1"/>
  <c r="AQ11" i="5" s="1"/>
  <c r="AT11" i="5" s="1"/>
  <c r="AW11" i="5" s="1"/>
  <c r="AZ11" i="5" s="1"/>
  <c r="BC11" i="5" s="1"/>
  <c r="BF11" i="5" s="1"/>
  <c r="BI11" i="5" s="1"/>
  <c r="BL11" i="5" s="1"/>
  <c r="BO11" i="5" s="1"/>
  <c r="BR11" i="5" s="1"/>
  <c r="BU11" i="5" s="1"/>
  <c r="U56" i="5"/>
  <c r="Q24" i="5"/>
  <c r="Q10" i="5" s="1"/>
  <c r="CK10" i="5"/>
  <c r="CQ59" i="5"/>
  <c r="CP61" i="5"/>
  <c r="CP60" i="5" s="1"/>
  <c r="CQ60" i="5"/>
  <c r="CS10" i="5"/>
  <c r="T9" i="6"/>
  <c r="T32" i="6" s="1"/>
  <c r="N9" i="6"/>
  <c r="N32" i="6" s="1"/>
  <c r="K26" i="6"/>
  <c r="K25" i="6" s="1"/>
  <c r="K39" i="6"/>
  <c r="K22" i="6"/>
  <c r="F21" i="3"/>
  <c r="F31" i="3"/>
  <c r="F34" i="3"/>
  <c r="F49" i="3"/>
  <c r="F77" i="3"/>
  <c r="F102" i="3"/>
  <c r="CY11" i="5"/>
  <c r="DB11" i="5" s="1"/>
  <c r="DE11" i="5" s="1"/>
  <c r="DH11" i="5" s="1"/>
  <c r="DK11" i="5" s="1"/>
  <c r="DN11" i="5" s="1"/>
  <c r="DQ11" i="5" s="1"/>
  <c r="DT11" i="5" s="1"/>
  <c r="DW11" i="5" s="1"/>
  <c r="DZ11" i="5" s="1"/>
  <c r="EC11" i="5" s="1"/>
  <c r="EF11" i="5" s="1"/>
  <c r="EI11" i="5" s="1"/>
  <c r="EL11" i="5" s="1"/>
  <c r="EO11" i="5" s="1"/>
  <c r="O10" i="5"/>
  <c r="T24" i="5"/>
  <c r="U24" i="5" s="1"/>
  <c r="U25" i="5"/>
  <c r="CK60" i="5"/>
  <c r="CO61" i="5"/>
  <c r="CP59" i="5"/>
  <c r="D25" i="6"/>
  <c r="D36" i="6" s="1"/>
  <c r="D37" i="6"/>
  <c r="Z37" i="6"/>
  <c r="Z13" i="6"/>
  <c r="Z36" i="6" s="1"/>
  <c r="K37" i="6"/>
  <c r="K13" i="6"/>
  <c r="K36" i="6" s="1"/>
  <c r="F20" i="3"/>
  <c r="F30" i="3"/>
  <c r="CU60" i="5"/>
  <c r="CS61" i="5"/>
  <c r="BU10" i="10"/>
  <c r="BV10" i="10" s="1"/>
  <c r="BW10" i="10" s="1"/>
  <c r="BX10" i="10" s="1"/>
  <c r="CA10" i="10" s="1"/>
  <c r="CD10" i="10" s="1"/>
  <c r="CG10" i="10" s="1"/>
  <c r="CJ10" i="10" s="1"/>
  <c r="CM10" i="10" s="1"/>
  <c r="CP10" i="10" s="1"/>
  <c r="CS10" i="10" s="1"/>
  <c r="CV10" i="10" s="1"/>
  <c r="CY10" i="10" s="1"/>
  <c r="DB10" i="10" s="1"/>
  <c r="DE10" i="10" s="1"/>
  <c r="DH10" i="10" s="1"/>
  <c r="DK10" i="10" s="1"/>
  <c r="DN10" i="10" s="1"/>
  <c r="DQ10" i="10" s="1"/>
  <c r="DT10" i="10" s="1"/>
  <c r="DW10" i="10" s="1"/>
  <c r="DZ10" i="10" s="1"/>
  <c r="EC10" i="10" s="1"/>
  <c r="EF10" i="10" s="1"/>
  <c r="BH10" i="10"/>
  <c r="BK10" i="10" s="1"/>
  <c r="BN10" i="10" s="1"/>
  <c r="BQ10" i="10" s="1"/>
  <c r="CJ10" i="5"/>
  <c r="S60" i="5"/>
  <c r="Q61" i="5"/>
  <c r="Y61" i="5"/>
  <c r="Y60" i="5" s="1"/>
  <c r="Z60" i="5"/>
  <c r="Z64" i="5" s="1"/>
  <c r="Y10" i="5"/>
  <c r="CN24" i="5"/>
  <c r="CO24" i="5" s="1"/>
  <c r="CO25" i="5"/>
  <c r="CK24" i="5"/>
  <c r="L33" i="6"/>
  <c r="Y33" i="6"/>
  <c r="Y9" i="6"/>
  <c r="Y32" i="6" s="1"/>
  <c r="AB33" i="6"/>
  <c r="F34" i="6"/>
  <c r="C11" i="6"/>
  <c r="C34" i="6" s="1"/>
  <c r="I34" i="6"/>
  <c r="Y34" i="6"/>
  <c r="CO60" i="5"/>
  <c r="V10" i="5"/>
  <c r="W32" i="6"/>
  <c r="I33" i="6"/>
  <c r="I9" i="6"/>
  <c r="I32" i="6" s="1"/>
  <c r="M36" i="6"/>
  <c r="CW60" i="5"/>
  <c r="CW64" i="5" s="1"/>
  <c r="AC37" i="6"/>
  <c r="AC25" i="6"/>
  <c r="AC36" i="6" s="1"/>
  <c r="C14" i="6"/>
  <c r="C41" i="6"/>
  <c r="E18" i="6"/>
  <c r="E41" i="6" s="1"/>
  <c r="E33" i="6"/>
  <c r="M33" i="6"/>
  <c r="U33" i="6"/>
  <c r="AC33" i="6"/>
  <c r="H26" i="6"/>
  <c r="H40" i="6"/>
  <c r="CL60" i="5"/>
  <c r="CL64" i="5" s="1"/>
  <c r="CS62" i="5"/>
  <c r="V13" i="6"/>
  <c r="V36" i="6" s="1"/>
  <c r="I37" i="6"/>
  <c r="C40" i="6"/>
  <c r="C26" i="6"/>
  <c r="C25" i="6" s="1"/>
  <c r="E29" i="6"/>
  <c r="BU50" i="10"/>
  <c r="BT51" i="10"/>
  <c r="F9" i="6"/>
  <c r="F32" i="6" s="1"/>
  <c r="E38" i="6"/>
  <c r="F58" i="10"/>
  <c r="I12" i="10"/>
  <c r="D87" i="10"/>
  <c r="K38" i="6"/>
  <c r="E17" i="6"/>
  <c r="D54" i="10"/>
  <c r="D43" i="10"/>
  <c r="D86" i="10"/>
  <c r="O12" i="10"/>
  <c r="CS24" i="10"/>
  <c r="BV12" i="10"/>
  <c r="D88" i="10"/>
  <c r="U29" i="10"/>
  <c r="R27" i="10"/>
  <c r="R23" i="10" s="1"/>
  <c r="R12" i="10" s="1"/>
  <c r="EI48" i="10"/>
  <c r="G23" i="10"/>
  <c r="G12" i="10" s="1"/>
  <c r="CY25" i="10"/>
  <c r="CV24" i="10"/>
  <c r="BW12" i="10"/>
  <c r="CA12" i="10"/>
  <c r="L23" i="10"/>
  <c r="L12" i="10" s="1"/>
  <c r="BU12" i="10"/>
  <c r="BX12" i="10"/>
  <c r="EI52" i="10"/>
  <c r="U41" i="10"/>
  <c r="CG71" i="10"/>
  <c r="CJ71" i="10" s="1"/>
  <c r="CM71" i="10" s="1"/>
  <c r="CP71" i="10" s="1"/>
  <c r="CS71" i="10" s="1"/>
  <c r="CV71" i="10" s="1"/>
  <c r="CY71" i="10" s="1"/>
  <c r="DB71" i="10" s="1"/>
  <c r="DE71" i="10" s="1"/>
  <c r="DH71" i="10" s="1"/>
  <c r="DK71" i="10" s="1"/>
  <c r="DN71" i="10" s="1"/>
  <c r="DQ71" i="10" s="1"/>
  <c r="DT71" i="10" s="1"/>
  <c r="DW71" i="10" s="1"/>
  <c r="DZ71" i="10" s="1"/>
  <c r="EC71" i="10" s="1"/>
  <c r="EF71" i="10" s="1"/>
  <c r="CD22" i="10"/>
  <c r="AA26" i="10"/>
  <c r="CG55" i="10"/>
  <c r="U34" i="10"/>
  <c r="U21" i="10"/>
  <c r="CJ70" i="10"/>
  <c r="CJ16" i="10" s="1"/>
  <c r="U38" i="10"/>
  <c r="U31" i="10"/>
  <c r="U15" i="10"/>
  <c r="DZ61" i="10"/>
  <c r="EC61" i="10" s="1"/>
  <c r="EF61" i="10" s="1"/>
  <c r="DW93" i="10"/>
  <c r="U32" i="10"/>
  <c r="U30" i="10"/>
  <c r="O61" i="10"/>
  <c r="L93" i="10"/>
  <c r="L97" i="10" s="1"/>
  <c r="U39" i="10"/>
  <c r="X25" i="10"/>
  <c r="U18" i="10"/>
  <c r="R92" i="10"/>
  <c r="U60" i="10"/>
  <c r="AU60" i="10"/>
  <c r="DK60" i="10"/>
  <c r="DH92" i="10"/>
  <c r="G20" i="11"/>
  <c r="G32" i="11"/>
  <c r="S58" i="10"/>
  <c r="S59" i="10"/>
  <c r="V61" i="10"/>
  <c r="V58" i="10" s="1"/>
  <c r="Z61" i="10"/>
  <c r="W59" i="10"/>
  <c r="Q96" i="10"/>
  <c r="O99" i="10" s="1"/>
  <c r="O92" i="10"/>
  <c r="U19" i="10"/>
  <c r="Y60" i="10"/>
  <c r="V59" i="10"/>
  <c r="ED92" i="10"/>
  <c r="U70" i="10"/>
  <c r="DO63" i="10"/>
  <c r="DM92" i="10"/>
  <c r="AX63" i="10"/>
  <c r="AZ63" i="10" s="1"/>
  <c r="AW92" i="10"/>
  <c r="AW96" i="10" s="1"/>
  <c r="CF93" i="10"/>
  <c r="CH64" i="10"/>
  <c r="BO64" i="10"/>
  <c r="BM93" i="10"/>
  <c r="CL67" i="10"/>
  <c r="Z67" i="10"/>
  <c r="EG63" i="10"/>
  <c r="CO64" i="10"/>
  <c r="CR68" i="10"/>
  <c r="CU68" i="10" s="1"/>
  <c r="CX68" i="10" s="1"/>
  <c r="DA68" i="10" s="1"/>
  <c r="DD68" i="10" s="1"/>
  <c r="DG68" i="10" s="1"/>
  <c r="DJ68" i="10" s="1"/>
  <c r="DM68" i="10" s="1"/>
  <c r="V63" i="10"/>
  <c r="P93" i="10"/>
  <c r="P97" i="10" s="1"/>
  <c r="Q64" i="10"/>
  <c r="W64" i="10"/>
  <c r="Z68" i="10"/>
  <c r="AC68" i="10" s="1"/>
  <c r="AF68" i="10" s="1"/>
  <c r="AI68" i="10" s="1"/>
  <c r="AL68" i="10" s="1"/>
  <c r="AO68" i="10" s="1"/>
  <c r="AR68" i="10" s="1"/>
  <c r="EB64" i="10"/>
  <c r="EA93" i="10"/>
  <c r="O20" i="11"/>
  <c r="O32" i="11"/>
  <c r="BL97" i="10"/>
  <c r="X46" i="10"/>
  <c r="AA45" i="10"/>
  <c r="CG46" i="10"/>
  <c r="CJ45" i="10"/>
  <c r="G31" i="11"/>
  <c r="CH63" i="10"/>
  <c r="CF92" i="10"/>
  <c r="CD92" i="10" s="1"/>
  <c r="O31" i="11"/>
  <c r="L58" i="11"/>
  <c r="L18" i="11" s="1"/>
  <c r="L61" i="11"/>
  <c r="L30" i="11" s="1"/>
  <c r="BP67" i="10"/>
  <c r="BP68" i="10" s="1"/>
  <c r="I8" i="11"/>
  <c r="I31" i="11" s="1"/>
  <c r="Q8" i="11"/>
  <c r="Q31" i="11" s="1"/>
  <c r="AB20" i="11"/>
  <c r="AB31" i="11" s="1"/>
  <c r="R32" i="11"/>
  <c r="CE93" i="10"/>
  <c r="G46" i="11"/>
  <c r="G44" i="11"/>
  <c r="H44" i="11"/>
  <c r="F9" i="12"/>
  <c r="E6" i="12"/>
  <c r="E4" i="12" s="1"/>
  <c r="E14" i="12" s="1"/>
  <c r="E12" i="12"/>
  <c r="E13" i="12" s="1"/>
  <c r="Z8" i="11"/>
  <c r="Z31" i="11" s="1"/>
  <c r="V32" i="11"/>
  <c r="D44" i="11"/>
  <c r="D46" i="11"/>
  <c r="AD37" i="11"/>
  <c r="I44" i="11"/>
  <c r="I46" i="11"/>
  <c r="T61" i="11"/>
  <c r="Q61" i="11"/>
  <c r="V61" i="11"/>
  <c r="N61" i="11"/>
  <c r="S61" i="11"/>
  <c r="X61" i="11"/>
  <c r="P61" i="11"/>
  <c r="U61" i="11"/>
  <c r="M61" i="11"/>
  <c r="R61" i="11"/>
  <c r="W61" i="11"/>
  <c r="O61" i="11"/>
  <c r="H46" i="11"/>
  <c r="J58" i="11"/>
  <c r="J68" i="11" s="1"/>
  <c r="J61" i="11"/>
  <c r="D54" i="11"/>
  <c r="Q58" i="11"/>
  <c r="Q68" i="11" s="1"/>
  <c r="V58" i="11"/>
  <c r="V68" i="11" s="1"/>
  <c r="N58" i="11"/>
  <c r="N68" i="11" s="1"/>
  <c r="S58" i="11"/>
  <c r="S68" i="11" s="1"/>
  <c r="X58" i="11"/>
  <c r="X68" i="11" s="1"/>
  <c r="P58" i="11"/>
  <c r="P68" i="11" s="1"/>
  <c r="U58" i="11"/>
  <c r="U68" i="11" s="1"/>
  <c r="M58" i="11"/>
  <c r="M68" i="11" s="1"/>
  <c r="R58" i="11"/>
  <c r="R68" i="11" s="1"/>
  <c r="D70" i="11"/>
  <c r="W58" i="11"/>
  <c r="W68" i="11" s="1"/>
  <c r="O58" i="11"/>
  <c r="T58" i="11"/>
  <c r="X57" i="11"/>
  <c r="X67" i="11" s="1"/>
  <c r="V57" i="11"/>
  <c r="T57" i="11"/>
  <c r="T67" i="11" s="1"/>
  <c r="P57" i="11"/>
  <c r="N57" i="11"/>
  <c r="L57" i="11"/>
  <c r="L67" i="11" s="1"/>
  <c r="J57" i="11"/>
  <c r="S56" i="11"/>
  <c r="Q56" i="11"/>
  <c r="Q66" i="11" s="1"/>
  <c r="O56" i="11"/>
  <c r="P8" i="12"/>
  <c r="O15" i="12"/>
  <c r="K25" i="12"/>
  <c r="J24" i="12"/>
  <c r="C33" i="11"/>
  <c r="D25" i="11"/>
  <c r="D22" i="11"/>
  <c r="F44" i="11"/>
  <c r="F46" i="11"/>
  <c r="J56" i="11"/>
  <c r="R56" i="11"/>
  <c r="N60" i="11"/>
  <c r="N67" i="11" s="1"/>
  <c r="V60" i="11"/>
  <c r="K58" i="11"/>
  <c r="K18" i="11" s="1"/>
  <c r="K61" i="11"/>
  <c r="K30" i="11" s="1"/>
  <c r="K56" i="11"/>
  <c r="K66" i="11" s="1"/>
  <c r="M56" i="11"/>
  <c r="U56" i="11"/>
  <c r="W56" i="11"/>
  <c r="W66" i="11" s="1"/>
  <c r="R57" i="11"/>
  <c r="AB39" i="11"/>
  <c r="D52" i="11"/>
  <c r="E35" i="12"/>
  <c r="J59" i="11"/>
  <c r="L59" i="11"/>
  <c r="L66" i="11" s="1"/>
  <c r="N59" i="11"/>
  <c r="N66" i="11" s="1"/>
  <c r="P59" i="11"/>
  <c r="P66" i="11" s="1"/>
  <c r="R59" i="11"/>
  <c r="R66" i="11" s="1"/>
  <c r="T59" i="11"/>
  <c r="T66" i="11" s="1"/>
  <c r="V59" i="11"/>
  <c r="V66" i="11" s="1"/>
  <c r="X59" i="11"/>
  <c r="X66" i="11" s="1"/>
  <c r="K60" i="11"/>
  <c r="K67" i="11" s="1"/>
  <c r="M60" i="11"/>
  <c r="M67" i="11" s="1"/>
  <c r="O60" i="11"/>
  <c r="O67" i="11" s="1"/>
  <c r="Q60" i="11"/>
  <c r="Q67" i="11" s="1"/>
  <c r="S60" i="11"/>
  <c r="S67" i="11" s="1"/>
  <c r="U60" i="11"/>
  <c r="U67" i="11" s="1"/>
  <c r="W60" i="11"/>
  <c r="W67" i="11" s="1"/>
  <c r="D14" i="12"/>
  <c r="D16" i="11"/>
  <c r="M66" i="11"/>
  <c r="O66" i="11"/>
  <c r="S66" i="11"/>
  <c r="U66" i="11"/>
  <c r="J67" i="11"/>
  <c r="P67" i="11"/>
  <c r="R67" i="11"/>
  <c r="V67" i="11"/>
  <c r="I24" i="12"/>
  <c r="CJ17" i="10" l="1"/>
  <c r="G58" i="10"/>
  <c r="G11" i="10"/>
  <c r="V91" i="10"/>
  <c r="V95" i="10" s="1"/>
  <c r="V62" i="10"/>
  <c r="R56" i="10"/>
  <c r="R11" i="10" s="1"/>
  <c r="R58" i="10"/>
  <c r="L58" i="10"/>
  <c r="L11" i="10"/>
  <c r="AR64" i="10"/>
  <c r="AU68" i="10"/>
  <c r="AX68" i="10" s="1"/>
  <c r="BW58" i="10"/>
  <c r="BW11" i="10"/>
  <c r="E40" i="6"/>
  <c r="E11" i="6"/>
  <c r="D51" i="10"/>
  <c r="V59" i="5"/>
  <c r="V9" i="5"/>
  <c r="C9" i="6"/>
  <c r="C32" i="6" s="1"/>
  <c r="C33" i="6"/>
  <c r="G18" i="3"/>
  <c r="F18" i="3"/>
  <c r="Y44" i="1"/>
  <c r="W56" i="2"/>
  <c r="W55" i="2" s="1"/>
  <c r="L25" i="12"/>
  <c r="K24" i="12"/>
  <c r="D60" i="11"/>
  <c r="W93" i="10"/>
  <c r="Y64" i="10"/>
  <c r="AX96" i="10"/>
  <c r="AV99" i="10" s="1"/>
  <c r="DK92" i="10"/>
  <c r="AB60" i="10"/>
  <c r="AA25" i="10"/>
  <c r="X24" i="10"/>
  <c r="CJ31" i="10"/>
  <c r="CJ18" i="10"/>
  <c r="BX58" i="10"/>
  <c r="BX11" i="10"/>
  <c r="BV58" i="10"/>
  <c r="BV11" i="10"/>
  <c r="F74" i="10"/>
  <c r="F62" i="10"/>
  <c r="Y9" i="5"/>
  <c r="Y59" i="5"/>
  <c r="CS60" i="5"/>
  <c r="O59" i="5"/>
  <c r="P10" i="5"/>
  <c r="O9" i="5"/>
  <c r="P9" i="5" s="1"/>
  <c r="Z75" i="2"/>
  <c r="Z87" i="2"/>
  <c r="Z85" i="2" s="1"/>
  <c r="Z82" i="2" s="1"/>
  <c r="E104" i="3"/>
  <c r="F105" i="3"/>
  <c r="F26" i="3"/>
  <c r="G26" i="3"/>
  <c r="D105" i="3"/>
  <c r="D104" i="3" s="1"/>
  <c r="AA44" i="1"/>
  <c r="Y56" i="2"/>
  <c r="Y55" i="2" s="1"/>
  <c r="R73" i="2"/>
  <c r="CG22" i="10"/>
  <c r="CD12" i="10"/>
  <c r="D56" i="11"/>
  <c r="CH92" i="10"/>
  <c r="CI63" i="10"/>
  <c r="Q93" i="10"/>
  <c r="Q97" i="10" s="1"/>
  <c r="O100" i="10" s="1"/>
  <c r="O93" i="10"/>
  <c r="O97" i="10" s="1"/>
  <c r="Q58" i="10"/>
  <c r="O64" i="10"/>
  <c r="DO92" i="10"/>
  <c r="DP63" i="10"/>
  <c r="AC61" i="10"/>
  <c r="Z59" i="10"/>
  <c r="CJ29" i="10"/>
  <c r="CJ34" i="10"/>
  <c r="BU58" i="10"/>
  <c r="BU11" i="10"/>
  <c r="E14" i="6"/>
  <c r="E23" i="6"/>
  <c r="E21" i="6" s="1"/>
  <c r="E26" i="6"/>
  <c r="E25" i="6" s="1"/>
  <c r="CM69" i="5"/>
  <c r="CN10" i="5"/>
  <c r="K33" i="6"/>
  <c r="K21" i="6"/>
  <c r="K32" i="6" s="1"/>
  <c r="CQ64" i="5"/>
  <c r="CQ69" i="5" s="1"/>
  <c r="CQ68" i="5"/>
  <c r="V87" i="2"/>
  <c r="V85" i="2" s="1"/>
  <c r="V82" i="2" s="1"/>
  <c r="V75" i="2"/>
  <c r="Q56" i="2"/>
  <c r="Q55" i="2" s="1"/>
  <c r="S44" i="1"/>
  <c r="AE59" i="5"/>
  <c r="AH59" i="5" s="1"/>
  <c r="AK59" i="5" s="1"/>
  <c r="AN59" i="5" s="1"/>
  <c r="AQ59" i="5" s="1"/>
  <c r="AT59" i="5" s="1"/>
  <c r="AW59" i="5" s="1"/>
  <c r="AZ59" i="5" s="1"/>
  <c r="BC59" i="5" s="1"/>
  <c r="BF59" i="5" s="1"/>
  <c r="BI59" i="5" s="1"/>
  <c r="BL59" i="5" s="1"/>
  <c r="BO59" i="5" s="1"/>
  <c r="BR59" i="5" s="1"/>
  <c r="BU59" i="5" s="1"/>
  <c r="AB68" i="5"/>
  <c r="AB64" i="5"/>
  <c r="V73" i="2"/>
  <c r="M106" i="2"/>
  <c r="AA76" i="2"/>
  <c r="AA74" i="2"/>
  <c r="AA73" i="2" s="1"/>
  <c r="AA86" i="2"/>
  <c r="AA85" i="2" s="1"/>
  <c r="AA82" i="2" s="1"/>
  <c r="N86" i="2"/>
  <c r="N76" i="2"/>
  <c r="N74" i="2"/>
  <c r="BA63" i="10"/>
  <c r="AZ92" i="10"/>
  <c r="AZ96" i="10" s="1"/>
  <c r="H25" i="6"/>
  <c r="H36" i="6" s="1"/>
  <c r="H37" i="6"/>
  <c r="D13" i="11"/>
  <c r="D10" i="11"/>
  <c r="D33" i="11" s="1"/>
  <c r="D39" i="11"/>
  <c r="AD39" i="11" s="1"/>
  <c r="Y61" i="10"/>
  <c r="Y76" i="2"/>
  <c r="Y74" i="2"/>
  <c r="Y73" i="2" s="1"/>
  <c r="Y86" i="2"/>
  <c r="Y85" i="2" s="1"/>
  <c r="Y82" i="2" s="1"/>
  <c r="F76" i="2"/>
  <c r="F74" i="2"/>
  <c r="F73" i="2" s="1"/>
  <c r="D59" i="11"/>
  <c r="J66" i="11"/>
  <c r="K24" i="11"/>
  <c r="K21" i="11"/>
  <c r="K20" i="11" s="1"/>
  <c r="E8" i="12"/>
  <c r="E15" i="12" s="1"/>
  <c r="L68" i="11"/>
  <c r="CM45" i="10"/>
  <c r="CJ46" i="10"/>
  <c r="V92" i="10"/>
  <c r="W63" i="10"/>
  <c r="X70" i="10"/>
  <c r="AA70" i="10" s="1"/>
  <c r="AD70" i="10" s="1"/>
  <c r="AG70" i="10" s="1"/>
  <c r="AJ70" i="10" s="1"/>
  <c r="AM70" i="10" s="1"/>
  <c r="AP70" i="10" s="1"/>
  <c r="AS70" i="10" s="1"/>
  <c r="AV70" i="10" s="1"/>
  <c r="AY70" i="10" s="1"/>
  <c r="BB70" i="10" s="1"/>
  <c r="BE70" i="10" s="1"/>
  <c r="BH70" i="10" s="1"/>
  <c r="BK70" i="10" s="1"/>
  <c r="BN70" i="10" s="1"/>
  <c r="BQ70" i="10" s="1"/>
  <c r="U33" i="10"/>
  <c r="U20" i="10"/>
  <c r="R61" i="10"/>
  <c r="O59" i="10"/>
  <c r="CJ19" i="10"/>
  <c r="U55" i="10"/>
  <c r="U37" i="10"/>
  <c r="Q60" i="5"/>
  <c r="U60" i="5" s="1"/>
  <c r="U61" i="5"/>
  <c r="CR59" i="5"/>
  <c r="CP64" i="5"/>
  <c r="Q59" i="5"/>
  <c r="Q9" i="5"/>
  <c r="CV10" i="5"/>
  <c r="N87" i="2"/>
  <c r="N75" i="2"/>
  <c r="U56" i="2"/>
  <c r="U55" i="2" s="1"/>
  <c r="W44" i="1"/>
  <c r="J76" i="2"/>
  <c r="J74" i="2"/>
  <c r="J86" i="2"/>
  <c r="N64" i="5"/>
  <c r="R68" i="5"/>
  <c r="N68" i="5"/>
  <c r="X76" i="2"/>
  <c r="X74" i="2"/>
  <c r="X73" i="2" s="1"/>
  <c r="X86" i="2"/>
  <c r="X85" i="2" s="1"/>
  <c r="X82" i="2" s="1"/>
  <c r="V56" i="2"/>
  <c r="V55" i="2" s="1"/>
  <c r="X44" i="1"/>
  <c r="F20" i="2"/>
  <c r="F22" i="2"/>
  <c r="M56" i="2"/>
  <c r="M55" i="2" s="1"/>
  <c r="O44" i="1"/>
  <c r="D73" i="3"/>
  <c r="F76" i="3"/>
  <c r="CM70" i="10"/>
  <c r="CP70" i="10" s="1"/>
  <c r="CS70" i="10" s="1"/>
  <c r="CV70" i="10" s="1"/>
  <c r="CY70" i="10" s="1"/>
  <c r="DB70" i="10" s="1"/>
  <c r="DE70" i="10" s="1"/>
  <c r="DH70" i="10" s="1"/>
  <c r="DK70" i="10" s="1"/>
  <c r="DN70" i="10" s="1"/>
  <c r="DQ70" i="10" s="1"/>
  <c r="DT70" i="10" s="1"/>
  <c r="DW70" i="10" s="1"/>
  <c r="DZ70" i="10" s="1"/>
  <c r="EC70" i="10" s="1"/>
  <c r="EF70" i="10" s="1"/>
  <c r="CJ35" i="10"/>
  <c r="CJ44" i="10"/>
  <c r="CJ30" i="10"/>
  <c r="CJ39" i="10"/>
  <c r="CJ33" i="10"/>
  <c r="CJ37" i="10"/>
  <c r="CJ20" i="10"/>
  <c r="CP20" i="10"/>
  <c r="CJ41" i="10"/>
  <c r="M86" i="2"/>
  <c r="M85" i="2" s="1"/>
  <c r="M82" i="2" s="1"/>
  <c r="M76" i="2"/>
  <c r="M74" i="2"/>
  <c r="M73" i="2" s="1"/>
  <c r="K12" i="11"/>
  <c r="K35" i="11" s="1"/>
  <c r="K41" i="11"/>
  <c r="K48" i="11" s="1"/>
  <c r="K9" i="11"/>
  <c r="D61" i="11"/>
  <c r="J30" i="11"/>
  <c r="L24" i="11"/>
  <c r="L21" i="11"/>
  <c r="L20" i="11" s="1"/>
  <c r="CG78" i="10"/>
  <c r="CG80" i="10"/>
  <c r="AD16" i="11"/>
  <c r="CH93" i="10"/>
  <c r="S97" i="10" s="1"/>
  <c r="CI64" i="10"/>
  <c r="CG93" i="10" s="1"/>
  <c r="AX60" i="10"/>
  <c r="X30" i="10"/>
  <c r="AA30" i="10" s="1"/>
  <c r="AD30" i="10" s="1"/>
  <c r="AG30" i="10" s="1"/>
  <c r="AJ30" i="10" s="1"/>
  <c r="AM30" i="10" s="1"/>
  <c r="AP30" i="10" s="1"/>
  <c r="AS30" i="10" s="1"/>
  <c r="AV30" i="10" s="1"/>
  <c r="AY30" i="10" s="1"/>
  <c r="BB30" i="10" s="1"/>
  <c r="BE30" i="10" s="1"/>
  <c r="BH30" i="10" s="1"/>
  <c r="BK30" i="10" s="1"/>
  <c r="BN30" i="10" s="1"/>
  <c r="BQ30" i="10" s="1"/>
  <c r="U40" i="10"/>
  <c r="CA58" i="10"/>
  <c r="CA11" i="10"/>
  <c r="CI64" i="5"/>
  <c r="CJ59" i="5"/>
  <c r="CI68" i="5"/>
  <c r="F83" i="3"/>
  <c r="E80" i="3"/>
  <c r="G83" i="3"/>
  <c r="J75" i="2"/>
  <c r="J87" i="2"/>
  <c r="AC44" i="1"/>
  <c r="AA56" i="2"/>
  <c r="AA55" i="2" s="1"/>
  <c r="Q44" i="1"/>
  <c r="O56" i="2"/>
  <c r="O55" i="2" s="1"/>
  <c r="V44" i="1"/>
  <c r="T56" i="2"/>
  <c r="T55" i="2" s="1"/>
  <c r="S56" i="2"/>
  <c r="S55" i="2" s="1"/>
  <c r="U44" i="1"/>
  <c r="CH64" i="5"/>
  <c r="CH69" i="5" s="1"/>
  <c r="CL68" i="5"/>
  <c r="CH68" i="5"/>
  <c r="AA55" i="1"/>
  <c r="Z53" i="1"/>
  <c r="Z63" i="10"/>
  <c r="CO67" i="10"/>
  <c r="CJ15" i="10"/>
  <c r="BO93" i="10"/>
  <c r="BP64" i="10"/>
  <c r="DN60" i="10"/>
  <c r="DK59" i="10"/>
  <c r="DB25" i="10"/>
  <c r="CY24" i="10"/>
  <c r="T10" i="5"/>
  <c r="D66" i="11"/>
  <c r="K68" i="11"/>
  <c r="T68" i="11"/>
  <c r="J18" i="11"/>
  <c r="D58" i="11"/>
  <c r="D68" i="11" s="1"/>
  <c r="G9" i="12"/>
  <c r="F12" i="12"/>
  <c r="F13" i="12" s="1"/>
  <c r="F6" i="12"/>
  <c r="F4" i="12" s="1"/>
  <c r="F14" i="12" s="1"/>
  <c r="L41" i="11"/>
  <c r="L48" i="11" s="1"/>
  <c r="L12" i="11"/>
  <c r="L35" i="11" s="1"/>
  <c r="L9" i="11"/>
  <c r="AA46" i="10"/>
  <c r="AD45" i="10"/>
  <c r="CQ64" i="10"/>
  <c r="CO93" i="10"/>
  <c r="CM93" i="10"/>
  <c r="S91" i="10"/>
  <c r="S95" i="10" s="1"/>
  <c r="R74" i="10"/>
  <c r="R75" i="10" s="1"/>
  <c r="S62" i="10"/>
  <c r="T66" i="10" s="1"/>
  <c r="X60" i="10"/>
  <c r="X92" i="10" s="1"/>
  <c r="CJ55" i="10"/>
  <c r="CJ38" i="10"/>
  <c r="CG50" i="10"/>
  <c r="W64" i="5"/>
  <c r="Z76" i="2"/>
  <c r="R44" i="1"/>
  <c r="P56" i="2"/>
  <c r="P55" i="2" s="1"/>
  <c r="G72" i="3"/>
  <c r="D71" i="3"/>
  <c r="G71" i="3" s="1"/>
  <c r="F72" i="3"/>
  <c r="T44" i="1"/>
  <c r="R56" i="2"/>
  <c r="R55" i="2" s="1"/>
  <c r="T76" i="2"/>
  <c r="T74" i="2"/>
  <c r="T73" i="2" s="1"/>
  <c r="T86" i="2"/>
  <c r="T85" i="2" s="1"/>
  <c r="T82" i="2" s="1"/>
  <c r="AB44" i="1"/>
  <c r="Z56" i="2"/>
  <c r="Z55" i="2" s="1"/>
  <c r="G108" i="3"/>
  <c r="F108" i="3"/>
  <c r="F106" i="3"/>
  <c r="G86" i="3"/>
  <c r="C37" i="6"/>
  <c r="C13" i="6"/>
  <c r="C36" i="6" s="1"/>
  <c r="P9" i="12"/>
  <c r="P12" i="12" s="1"/>
  <c r="P13" i="12" s="1"/>
  <c r="Q8" i="12"/>
  <c r="P6" i="12"/>
  <c r="P4" i="12" s="1"/>
  <c r="P14" i="12" s="1"/>
  <c r="P15" i="12"/>
  <c r="CJ32" i="10"/>
  <c r="O56" i="10"/>
  <c r="O58" i="10"/>
  <c r="O11" i="10"/>
  <c r="CK59" i="5"/>
  <c r="CP68" i="5" s="1"/>
  <c r="CK9" i="5"/>
  <c r="R75" i="2"/>
  <c r="R87" i="2"/>
  <c r="R85" i="2" s="1"/>
  <c r="R82" i="2" s="1"/>
  <c r="AD26" i="3"/>
  <c r="AE26" i="3" s="1"/>
  <c r="AE27" i="3"/>
  <c r="K86" i="2"/>
  <c r="K85" i="2" s="1"/>
  <c r="K82" i="2" s="1"/>
  <c r="K76" i="2"/>
  <c r="K74" i="2"/>
  <c r="K73" i="2" s="1"/>
  <c r="D57" i="11"/>
  <c r="D67" i="11" s="1"/>
  <c r="O68" i="11"/>
  <c r="X107" i="10"/>
  <c r="X78" i="10"/>
  <c r="X80" i="10"/>
  <c r="ED64" i="10"/>
  <c r="EB93" i="10"/>
  <c r="BM97" i="10" s="1"/>
  <c r="BK100" i="10" s="1"/>
  <c r="DZ93" i="10"/>
  <c r="EG92" i="10"/>
  <c r="EH63" i="10"/>
  <c r="EH92" i="10" s="1"/>
  <c r="O96" i="10"/>
  <c r="U16" i="10"/>
  <c r="U14" i="10" s="1"/>
  <c r="U13" i="10" s="1"/>
  <c r="CJ21" i="10"/>
  <c r="U44" i="10"/>
  <c r="U35" i="10"/>
  <c r="AD26" i="10"/>
  <c r="AG26" i="10" s="1"/>
  <c r="AJ26" i="10" s="1"/>
  <c r="AM26" i="10" s="1"/>
  <c r="AP26" i="10" s="1"/>
  <c r="AS26" i="10" s="1"/>
  <c r="AV26" i="10" s="1"/>
  <c r="AY26" i="10" s="1"/>
  <c r="BB26" i="10" s="1"/>
  <c r="BE26" i="10" s="1"/>
  <c r="BH26" i="10" s="1"/>
  <c r="BK26" i="10" s="1"/>
  <c r="BN26" i="10" s="1"/>
  <c r="BQ26" i="10" s="1"/>
  <c r="I58" i="10"/>
  <c r="I11" i="10"/>
  <c r="CS59" i="5"/>
  <c r="CS9" i="5"/>
  <c r="Z73" i="2"/>
  <c r="X56" i="2"/>
  <c r="X55" i="2" s="1"/>
  <c r="Z44" i="1"/>
  <c r="G74" i="3"/>
  <c r="F74" i="3"/>
  <c r="I76" i="2"/>
  <c r="I74" i="2"/>
  <c r="I73" i="2" s="1"/>
  <c r="I86" i="2"/>
  <c r="I85" i="2" s="1"/>
  <c r="I82" i="2" s="1"/>
  <c r="M44" i="1"/>
  <c r="K56" i="2"/>
  <c r="K55" i="2" s="1"/>
  <c r="AB49" i="1"/>
  <c r="AA47" i="1"/>
  <c r="L86" i="2"/>
  <c r="L85" i="2" s="1"/>
  <c r="L82" i="2" s="1"/>
  <c r="L76" i="2"/>
  <c r="L74" i="2"/>
  <c r="L73" i="2" s="1"/>
  <c r="T59" i="5" l="1"/>
  <c r="U10" i="5"/>
  <c r="T9" i="5"/>
  <c r="U9" i="5" s="1"/>
  <c r="X55" i="10"/>
  <c r="U50" i="10"/>
  <c r="U28" i="10" s="1"/>
  <c r="F104" i="3"/>
  <c r="G104" i="3"/>
  <c r="AE60" i="10"/>
  <c r="O91" i="10"/>
  <c r="O62" i="10"/>
  <c r="CM55" i="10"/>
  <c r="CJ50" i="10"/>
  <c r="CJ28" i="10" s="1"/>
  <c r="R76" i="10"/>
  <c r="G6" i="12"/>
  <c r="G4" i="12" s="1"/>
  <c r="G14" i="12" s="1"/>
  <c r="G12" i="12"/>
  <c r="G13" i="12" s="1"/>
  <c r="H9" i="12"/>
  <c r="CA75" i="10"/>
  <c r="CA91" i="10"/>
  <c r="CA62" i="10"/>
  <c r="J73" i="2"/>
  <c r="Q64" i="5"/>
  <c r="Q69" i="5" s="1"/>
  <c r="S59" i="5"/>
  <c r="Q68" i="5"/>
  <c r="CM19" i="10"/>
  <c r="CP19" i="10" s="1"/>
  <c r="CS19" i="10" s="1"/>
  <c r="CV19" i="10" s="1"/>
  <c r="CY19" i="10" s="1"/>
  <c r="DB19" i="10" s="1"/>
  <c r="DE19" i="10" s="1"/>
  <c r="DH19" i="10" s="1"/>
  <c r="DK19" i="10" s="1"/>
  <c r="DN19" i="10" s="1"/>
  <c r="DQ19" i="10" s="1"/>
  <c r="DT19" i="10" s="1"/>
  <c r="DW19" i="10" s="1"/>
  <c r="DZ19" i="10" s="1"/>
  <c r="EC19" i="10" s="1"/>
  <c r="EF19" i="10" s="1"/>
  <c r="AD20" i="10"/>
  <c r="N73" i="2"/>
  <c r="CM29" i="10"/>
  <c r="CP29" i="10" s="1"/>
  <c r="CS29" i="10" s="1"/>
  <c r="CV29" i="10" s="1"/>
  <c r="CY29" i="10" s="1"/>
  <c r="DB29" i="10" s="1"/>
  <c r="DE29" i="10" s="1"/>
  <c r="DH29" i="10" s="1"/>
  <c r="DK29" i="10" s="1"/>
  <c r="DN29" i="10" s="1"/>
  <c r="DQ29" i="10" s="1"/>
  <c r="DT29" i="10" s="1"/>
  <c r="DW29" i="10" s="1"/>
  <c r="DZ29" i="10" s="1"/>
  <c r="EC29" i="10" s="1"/>
  <c r="EF29" i="10" s="1"/>
  <c r="CK63" i="10"/>
  <c r="CI92" i="10"/>
  <c r="T96" i="10" s="1"/>
  <c r="CI58" i="10"/>
  <c r="CS20" i="10"/>
  <c r="X59" i="5"/>
  <c r="V68" i="5"/>
  <c r="V64" i="5"/>
  <c r="V69" i="5" s="1"/>
  <c r="AR93" i="10"/>
  <c r="AT64" i="10"/>
  <c r="E26" i="10"/>
  <c r="D26" i="10" s="1"/>
  <c r="AG45" i="10"/>
  <c r="AD46" i="10"/>
  <c r="F8" i="12"/>
  <c r="F15" i="12" s="1"/>
  <c r="AB63" i="10"/>
  <c r="CM37" i="10"/>
  <c r="CJ36" i="10"/>
  <c r="W92" i="10"/>
  <c r="W58" i="10"/>
  <c r="D36" i="11"/>
  <c r="E37" i="6"/>
  <c r="E13" i="6"/>
  <c r="E36" i="6" s="1"/>
  <c r="DR63" i="10"/>
  <c r="DP92" i="10"/>
  <c r="CG92" i="10"/>
  <c r="R96" i="10" s="1"/>
  <c r="S96" i="10"/>
  <c r="F75" i="10"/>
  <c r="CR64" i="10"/>
  <c r="CQ93" i="10"/>
  <c r="CP93" i="10"/>
  <c r="AC49" i="1"/>
  <c r="AC47" i="1" s="1"/>
  <c r="AB47" i="1"/>
  <c r="CM32" i="10"/>
  <c r="CP32" i="10" s="1"/>
  <c r="CS32" i="10" s="1"/>
  <c r="CV32" i="10" s="1"/>
  <c r="CY32" i="10" s="1"/>
  <c r="DB32" i="10" s="1"/>
  <c r="DE32" i="10" s="1"/>
  <c r="DH32" i="10" s="1"/>
  <c r="DK32" i="10" s="1"/>
  <c r="DN32" i="10" s="1"/>
  <c r="DQ32" i="10" s="1"/>
  <c r="DT32" i="10" s="1"/>
  <c r="DW32" i="10" s="1"/>
  <c r="DZ32" i="10" s="1"/>
  <c r="EC32" i="10" s="1"/>
  <c r="EF32" i="10" s="1"/>
  <c r="BT32" i="10"/>
  <c r="X38" i="10"/>
  <c r="AA107" i="10"/>
  <c r="AA78" i="10"/>
  <c r="AA80" i="10"/>
  <c r="DB24" i="10"/>
  <c r="DE25" i="10"/>
  <c r="F80" i="3"/>
  <c r="G80" i="3"/>
  <c r="BA60" i="10"/>
  <c r="CM20" i="10"/>
  <c r="G73" i="3"/>
  <c r="F73" i="3"/>
  <c r="CT68" i="5"/>
  <c r="CR64" i="5"/>
  <c r="CR68" i="5"/>
  <c r="U61" i="10"/>
  <c r="R59" i="10"/>
  <c r="R93" i="10"/>
  <c r="R97" i="10" s="1"/>
  <c r="U92" i="10"/>
  <c r="X29" i="10"/>
  <c r="N85" i="2"/>
  <c r="N82" i="2" s="1"/>
  <c r="DN92" i="10"/>
  <c r="Z64" i="10"/>
  <c r="Y93" i="10"/>
  <c r="Y97" i="10" s="1"/>
  <c r="L91" i="10"/>
  <c r="L95" i="10" s="1"/>
  <c r="L62" i="10"/>
  <c r="L75" i="10"/>
  <c r="L83" i="10" s="1"/>
  <c r="G74" i="10"/>
  <c r="G75" i="10" s="1"/>
  <c r="G62" i="10"/>
  <c r="CM34" i="10"/>
  <c r="CP34" i="10" s="1"/>
  <c r="CS34" i="10" s="1"/>
  <c r="CV34" i="10" s="1"/>
  <c r="CY34" i="10" s="1"/>
  <c r="DB34" i="10" s="1"/>
  <c r="DE34" i="10" s="1"/>
  <c r="DH34" i="10" s="1"/>
  <c r="DK34" i="10" s="1"/>
  <c r="DN34" i="10" s="1"/>
  <c r="DQ34" i="10" s="1"/>
  <c r="DT34" i="10" s="1"/>
  <c r="DW34" i="10" s="1"/>
  <c r="DZ34" i="10" s="1"/>
  <c r="EC34" i="10" s="1"/>
  <c r="EF34" i="10" s="1"/>
  <c r="BT34" i="10"/>
  <c r="X35" i="10"/>
  <c r="AA35" i="10" s="1"/>
  <c r="AD35" i="10" s="1"/>
  <c r="AG35" i="10" s="1"/>
  <c r="AJ35" i="10" s="1"/>
  <c r="AM35" i="10" s="1"/>
  <c r="AP35" i="10" s="1"/>
  <c r="AS35" i="10" s="1"/>
  <c r="AV35" i="10" s="1"/>
  <c r="AY35" i="10" s="1"/>
  <c r="BB35" i="10" s="1"/>
  <c r="BE35" i="10" s="1"/>
  <c r="BH35" i="10" s="1"/>
  <c r="BK35" i="10" s="1"/>
  <c r="BN35" i="10" s="1"/>
  <c r="BQ35" i="10" s="1"/>
  <c r="X19" i="10"/>
  <c r="L32" i="11"/>
  <c r="L8" i="11"/>
  <c r="L31" i="11" s="1"/>
  <c r="J41" i="11"/>
  <c r="J48" i="11" s="1"/>
  <c r="J12" i="11"/>
  <c r="J9" i="11"/>
  <c r="D18" i="11"/>
  <c r="AA53" i="1"/>
  <c r="AB55" i="1"/>
  <c r="X41" i="10"/>
  <c r="J24" i="11"/>
  <c r="D30" i="11"/>
  <c r="J21" i="11"/>
  <c r="J20" i="11" s="1"/>
  <c r="CM33" i="10"/>
  <c r="CP33" i="10" s="1"/>
  <c r="CS33" i="10" s="1"/>
  <c r="CV33" i="10" s="1"/>
  <c r="CY33" i="10" s="1"/>
  <c r="DB33" i="10" s="1"/>
  <c r="DE33" i="10" s="1"/>
  <c r="DH33" i="10" s="1"/>
  <c r="DK33" i="10" s="1"/>
  <c r="DN33" i="10" s="1"/>
  <c r="DQ33" i="10" s="1"/>
  <c r="DT33" i="10" s="1"/>
  <c r="DW33" i="10" s="1"/>
  <c r="DZ33" i="10" s="1"/>
  <c r="EC33" i="10" s="1"/>
  <c r="EF33" i="10" s="1"/>
  <c r="AA20" i="10"/>
  <c r="X15" i="10"/>
  <c r="BV74" i="10"/>
  <c r="BV75" i="10" s="1"/>
  <c r="BV62" i="10"/>
  <c r="AD25" i="10"/>
  <c r="AA24" i="10"/>
  <c r="F71" i="3"/>
  <c r="E34" i="6"/>
  <c r="E9" i="6"/>
  <c r="E32" i="6" s="1"/>
  <c r="CM15" i="10"/>
  <c r="CJ14" i="10"/>
  <c r="CJ13" i="10" s="1"/>
  <c r="I74" i="10"/>
  <c r="I75" i="10" s="1"/>
  <c r="I83" i="10" s="1"/>
  <c r="I62" i="10"/>
  <c r="X44" i="10"/>
  <c r="U42" i="10"/>
  <c r="X32" i="10"/>
  <c r="DQ60" i="10"/>
  <c r="DN59" i="10"/>
  <c r="CI93" i="10"/>
  <c r="T97" i="10" s="1"/>
  <c r="R100" i="10" s="1"/>
  <c r="CK64" i="10"/>
  <c r="X21" i="10"/>
  <c r="CM39" i="10"/>
  <c r="CP39" i="10" s="1"/>
  <c r="CS39" i="10" s="1"/>
  <c r="CV39" i="10" s="1"/>
  <c r="CY39" i="10" s="1"/>
  <c r="DB39" i="10" s="1"/>
  <c r="DE39" i="10" s="1"/>
  <c r="DH39" i="10" s="1"/>
  <c r="DK39" i="10" s="1"/>
  <c r="DN39" i="10" s="1"/>
  <c r="DQ39" i="10" s="1"/>
  <c r="DT39" i="10" s="1"/>
  <c r="DW39" i="10" s="1"/>
  <c r="DZ39" i="10" s="1"/>
  <c r="EC39" i="10" s="1"/>
  <c r="EF39" i="10" s="1"/>
  <c r="CJ78" i="10"/>
  <c r="CJ80" i="10"/>
  <c r="X31" i="10"/>
  <c r="CN59" i="5"/>
  <c r="CO10" i="5"/>
  <c r="CN9" i="5"/>
  <c r="CO9" i="5" s="1"/>
  <c r="P59" i="5"/>
  <c r="O64" i="5"/>
  <c r="O68" i="5"/>
  <c r="R91" i="10"/>
  <c r="R62" i="10"/>
  <c r="R65" i="10"/>
  <c r="X16" i="10"/>
  <c r="J85" i="2"/>
  <c r="J82" i="2" s="1"/>
  <c r="CM31" i="10"/>
  <c r="CP31" i="10" s="1"/>
  <c r="CS31" i="10" s="1"/>
  <c r="CV31" i="10" s="1"/>
  <c r="CY31" i="10" s="1"/>
  <c r="DB31" i="10" s="1"/>
  <c r="DE31" i="10" s="1"/>
  <c r="DH31" i="10" s="1"/>
  <c r="DK31" i="10" s="1"/>
  <c r="DN31" i="10" s="1"/>
  <c r="DQ31" i="10" s="1"/>
  <c r="DT31" i="10" s="1"/>
  <c r="DW31" i="10" s="1"/>
  <c r="DZ31" i="10" s="1"/>
  <c r="EC31" i="10" s="1"/>
  <c r="EF31" i="10" s="1"/>
  <c r="CM21" i="10"/>
  <c r="CP21" i="10" s="1"/>
  <c r="CS21" i="10" s="1"/>
  <c r="CV21" i="10" s="1"/>
  <c r="CY21" i="10" s="1"/>
  <c r="DB21" i="10" s="1"/>
  <c r="DE21" i="10" s="1"/>
  <c r="DH21" i="10" s="1"/>
  <c r="DK21" i="10" s="1"/>
  <c r="DN21" i="10" s="1"/>
  <c r="DQ21" i="10" s="1"/>
  <c r="DT21" i="10" s="1"/>
  <c r="DW21" i="10" s="1"/>
  <c r="DZ21" i="10" s="1"/>
  <c r="EC21" i="10" s="1"/>
  <c r="EF21" i="10" s="1"/>
  <c r="ED93" i="10"/>
  <c r="EE64" i="10"/>
  <c r="EC93" i="10" s="1"/>
  <c r="CK64" i="5"/>
  <c r="CK69" i="5" s="1"/>
  <c r="CK68" i="5"/>
  <c r="Q6" i="12"/>
  <c r="Q4" i="12" s="1"/>
  <c r="Q14" i="12" s="1"/>
  <c r="R8" i="12"/>
  <c r="Q15" i="12"/>
  <c r="BR64" i="10"/>
  <c r="BP93" i="10"/>
  <c r="X34" i="10"/>
  <c r="K32" i="11"/>
  <c r="K8" i="11"/>
  <c r="K31" i="11" s="1"/>
  <c r="CM30" i="10"/>
  <c r="CP30" i="10" s="1"/>
  <c r="CS30" i="10" s="1"/>
  <c r="CV30" i="10" s="1"/>
  <c r="CY30" i="10" s="1"/>
  <c r="DB30" i="10" s="1"/>
  <c r="DE30" i="10" s="1"/>
  <c r="DH30" i="10" s="1"/>
  <c r="DK30" i="10" s="1"/>
  <c r="DN30" i="10" s="1"/>
  <c r="DQ30" i="10" s="1"/>
  <c r="DT30" i="10" s="1"/>
  <c r="DW30" i="10" s="1"/>
  <c r="DZ30" i="10" s="1"/>
  <c r="EC30" i="10" s="1"/>
  <c r="EF30" i="10" s="1"/>
  <c r="X20" i="10"/>
  <c r="CM46" i="10"/>
  <c r="CP45" i="10"/>
  <c r="AB61" i="10"/>
  <c r="X18" i="10"/>
  <c r="X39" i="10"/>
  <c r="Q91" i="10"/>
  <c r="Q95" i="10" s="1"/>
  <c r="O98" i="10" s="1"/>
  <c r="O74" i="10"/>
  <c r="O75" i="10" s="1"/>
  <c r="Q62" i="10"/>
  <c r="Q66" i="10" s="1"/>
  <c r="CD56" i="10"/>
  <c r="CD58" i="10"/>
  <c r="CD11" i="10"/>
  <c r="G105" i="3"/>
  <c r="BX62" i="10"/>
  <c r="BX75" i="10"/>
  <c r="Y59" i="10"/>
  <c r="CM16" i="10"/>
  <c r="CM35" i="10"/>
  <c r="CP35" i="10" s="1"/>
  <c r="CS35" i="10" s="1"/>
  <c r="CV35" i="10" s="1"/>
  <c r="CY35" i="10" s="1"/>
  <c r="DB35" i="10" s="1"/>
  <c r="DE35" i="10" s="1"/>
  <c r="DH35" i="10" s="1"/>
  <c r="DK35" i="10" s="1"/>
  <c r="DN35" i="10" s="1"/>
  <c r="DQ35" i="10" s="1"/>
  <c r="DT35" i="10" s="1"/>
  <c r="DW35" i="10" s="1"/>
  <c r="DZ35" i="10" s="1"/>
  <c r="EC35" i="10" s="1"/>
  <c r="EF35" i="10" s="1"/>
  <c r="BT35" i="10"/>
  <c r="BA92" i="10"/>
  <c r="BA96" i="10" s="1"/>
  <c r="AY99" i="10" s="1"/>
  <c r="BC63" i="10"/>
  <c r="BD63" i="10" s="1"/>
  <c r="AC59" i="10"/>
  <c r="AF61" i="10"/>
  <c r="CU59" i="5"/>
  <c r="CS64" i="5"/>
  <c r="CS69" i="5" s="1"/>
  <c r="CS68" i="5"/>
  <c r="CM38" i="10"/>
  <c r="CP38" i="10" s="1"/>
  <c r="CS38" i="10" s="1"/>
  <c r="CV38" i="10" s="1"/>
  <c r="CY38" i="10" s="1"/>
  <c r="DB38" i="10" s="1"/>
  <c r="DE38" i="10" s="1"/>
  <c r="DH38" i="10" s="1"/>
  <c r="DK38" i="10" s="1"/>
  <c r="DN38" i="10" s="1"/>
  <c r="DQ38" i="10" s="1"/>
  <c r="DT38" i="10" s="1"/>
  <c r="DW38" i="10" s="1"/>
  <c r="DZ38" i="10" s="1"/>
  <c r="EC38" i="10" s="1"/>
  <c r="EF38" i="10" s="1"/>
  <c r="AA60" i="10"/>
  <c r="BO97" i="10"/>
  <c r="CI69" i="5"/>
  <c r="CJ64" i="5"/>
  <c r="E30" i="10"/>
  <c r="CM41" i="10"/>
  <c r="CJ40" i="10"/>
  <c r="CM44" i="10"/>
  <c r="CJ42" i="10"/>
  <c r="N69" i="5"/>
  <c r="R69" i="5"/>
  <c r="CV9" i="5"/>
  <c r="CY9" i="5" s="1"/>
  <c r="DB9" i="5" s="1"/>
  <c r="DE9" i="5" s="1"/>
  <c r="DH9" i="5" s="1"/>
  <c r="DK9" i="5" s="1"/>
  <c r="DN9" i="5" s="1"/>
  <c r="DQ9" i="5" s="1"/>
  <c r="DT9" i="5" s="1"/>
  <c r="DW9" i="5" s="1"/>
  <c r="DZ9" i="5" s="1"/>
  <c r="EC9" i="5" s="1"/>
  <c r="EF9" i="5" s="1"/>
  <c r="EI9" i="5" s="1"/>
  <c r="EL9" i="5" s="1"/>
  <c r="EO9" i="5" s="1"/>
  <c r="CY10" i="5"/>
  <c r="DB10" i="5" s="1"/>
  <c r="DE10" i="5" s="1"/>
  <c r="DH10" i="5" s="1"/>
  <c r="DK10" i="5" s="1"/>
  <c r="DN10" i="5" s="1"/>
  <c r="DQ10" i="5" s="1"/>
  <c r="DT10" i="5" s="1"/>
  <c r="DW10" i="5" s="1"/>
  <c r="DZ10" i="5" s="1"/>
  <c r="EC10" i="5" s="1"/>
  <c r="EF10" i="5" s="1"/>
  <c r="EI10" i="5" s="1"/>
  <c r="EL10" i="5" s="1"/>
  <c r="EO10" i="5" s="1"/>
  <c r="CV59" i="5"/>
  <c r="X37" i="10"/>
  <c r="U36" i="10"/>
  <c r="X33" i="10"/>
  <c r="AA33" i="10" s="1"/>
  <c r="AD33" i="10" s="1"/>
  <c r="AG33" i="10" s="1"/>
  <c r="AJ33" i="10" s="1"/>
  <c r="AM33" i="10" s="1"/>
  <c r="AP33" i="10" s="1"/>
  <c r="AS33" i="10" s="1"/>
  <c r="AV33" i="10" s="1"/>
  <c r="AY33" i="10" s="1"/>
  <c r="BB33" i="10" s="1"/>
  <c r="BE33" i="10" s="1"/>
  <c r="BH33" i="10" s="1"/>
  <c r="BK33" i="10" s="1"/>
  <c r="BN33" i="10" s="1"/>
  <c r="BQ33" i="10" s="1"/>
  <c r="CL69" i="5"/>
  <c r="BU74" i="10"/>
  <c r="BU62" i="10"/>
  <c r="CJ22" i="10"/>
  <c r="CM22" i="10" s="1"/>
  <c r="CP22" i="10" s="1"/>
  <c r="CS22" i="10" s="1"/>
  <c r="CV22" i="10" s="1"/>
  <c r="CY22" i="10" s="1"/>
  <c r="DB22" i="10" s="1"/>
  <c r="DE22" i="10" s="1"/>
  <c r="DH22" i="10" s="1"/>
  <c r="DK22" i="10" s="1"/>
  <c r="DN22" i="10" s="1"/>
  <c r="DQ22" i="10" s="1"/>
  <c r="DT22" i="10" s="1"/>
  <c r="DW22" i="10" s="1"/>
  <c r="DZ22" i="10" s="1"/>
  <c r="EC22" i="10" s="1"/>
  <c r="EF22" i="10" s="1"/>
  <c r="CG12" i="10"/>
  <c r="AA59" i="5"/>
  <c r="Y68" i="5"/>
  <c r="Y64" i="5"/>
  <c r="AB69" i="5" s="1"/>
  <c r="CM18" i="10"/>
  <c r="CP18" i="10" s="1"/>
  <c r="CS18" i="10" s="1"/>
  <c r="CV18" i="10" s="1"/>
  <c r="CY18" i="10" s="1"/>
  <c r="DB18" i="10" s="1"/>
  <c r="DE18" i="10" s="1"/>
  <c r="DH18" i="10" s="1"/>
  <c r="DK18" i="10" s="1"/>
  <c r="DN18" i="10" s="1"/>
  <c r="DQ18" i="10" s="1"/>
  <c r="DT18" i="10" s="1"/>
  <c r="DW18" i="10" s="1"/>
  <c r="DZ18" i="10" s="1"/>
  <c r="EC18" i="10" s="1"/>
  <c r="EF18" i="10" s="1"/>
  <c r="Y58" i="10"/>
  <c r="M25" i="12"/>
  <c r="L24" i="12"/>
  <c r="BW74" i="10"/>
  <c r="BW75" i="10" s="1"/>
  <c r="H83" i="10" s="1"/>
  <c r="BW62" i="10"/>
  <c r="AA31" i="10" l="1"/>
  <c r="AD31" i="10" s="1"/>
  <c r="AG31" i="10" s="1"/>
  <c r="AJ31" i="10" s="1"/>
  <c r="AM31" i="10" s="1"/>
  <c r="AP31" i="10" s="1"/>
  <c r="AS31" i="10" s="1"/>
  <c r="AV31" i="10" s="1"/>
  <c r="AY31" i="10" s="1"/>
  <c r="BB31" i="10" s="1"/>
  <c r="BE31" i="10" s="1"/>
  <c r="BH31" i="10" s="1"/>
  <c r="BK31" i="10" s="1"/>
  <c r="BN31" i="10" s="1"/>
  <c r="BQ31" i="10" s="1"/>
  <c r="E31" i="10"/>
  <c r="D31" i="10" s="1"/>
  <c r="CG56" i="10"/>
  <c r="CG58" i="10"/>
  <c r="CG11" i="10"/>
  <c r="AF59" i="10"/>
  <c r="AI61" i="10"/>
  <c r="BT30" i="10"/>
  <c r="BT21" i="10"/>
  <c r="CN68" i="5"/>
  <c r="CO59" i="5"/>
  <c r="CN64" i="5"/>
  <c r="CK93" i="10"/>
  <c r="V97" i="10" s="1"/>
  <c r="CL64" i="10"/>
  <c r="CL93" i="10" s="1"/>
  <c r="W97" i="10" s="1"/>
  <c r="U100" i="10" s="1"/>
  <c r="CJ93" i="10"/>
  <c r="BT33" i="10"/>
  <c r="D41" i="11"/>
  <c r="D9" i="11"/>
  <c r="D12" i="11"/>
  <c r="AB92" i="10"/>
  <c r="AC63" i="10"/>
  <c r="BT29" i="10"/>
  <c r="S64" i="5"/>
  <c r="S68" i="5"/>
  <c r="W68" i="5"/>
  <c r="H12" i="12"/>
  <c r="H13" i="12" s="1"/>
  <c r="I9" i="12"/>
  <c r="H6" i="12"/>
  <c r="H4" i="12" s="1"/>
  <c r="H14" i="12" s="1"/>
  <c r="AA55" i="10"/>
  <c r="X50" i="10"/>
  <c r="X28" i="10" s="1"/>
  <c r="X27" i="10" s="1"/>
  <c r="X23" i="10" s="1"/>
  <c r="N25" i="12"/>
  <c r="M24" i="12"/>
  <c r="AA37" i="10"/>
  <c r="X36" i="10"/>
  <c r="Y91" i="10"/>
  <c r="Y95" i="10" s="1"/>
  <c r="Y62" i="10"/>
  <c r="CV68" i="5"/>
  <c r="CY59" i="5"/>
  <c r="DB59" i="5" s="1"/>
  <c r="DE59" i="5" s="1"/>
  <c r="DH59" i="5" s="1"/>
  <c r="DK59" i="5" s="1"/>
  <c r="DN59" i="5" s="1"/>
  <c r="DQ59" i="5" s="1"/>
  <c r="DT59" i="5" s="1"/>
  <c r="DW59" i="5" s="1"/>
  <c r="DZ59" i="5" s="1"/>
  <c r="EC59" i="5" s="1"/>
  <c r="EF59" i="5" s="1"/>
  <c r="EI59" i="5" s="1"/>
  <c r="EL59" i="5" s="1"/>
  <c r="EO59" i="5" s="1"/>
  <c r="CV64" i="5"/>
  <c r="CV69" i="5" s="1"/>
  <c r="CX59" i="5"/>
  <c r="AD60" i="10"/>
  <c r="BD92" i="10"/>
  <c r="BF63" i="10"/>
  <c r="AA18" i="10"/>
  <c r="AD18" i="10" s="1"/>
  <c r="AG18" i="10" s="1"/>
  <c r="AJ18" i="10" s="1"/>
  <c r="AM18" i="10" s="1"/>
  <c r="AP18" i="10" s="1"/>
  <c r="AS18" i="10" s="1"/>
  <c r="AV18" i="10" s="1"/>
  <c r="AY18" i="10" s="1"/>
  <c r="BB18" i="10" s="1"/>
  <c r="BE18" i="10" s="1"/>
  <c r="BH18" i="10" s="1"/>
  <c r="BK18" i="10" s="1"/>
  <c r="BN18" i="10" s="1"/>
  <c r="BQ18" i="10" s="1"/>
  <c r="BT31" i="10"/>
  <c r="AG25" i="10"/>
  <c r="AD24" i="10"/>
  <c r="J35" i="11"/>
  <c r="Z93" i="10"/>
  <c r="Z97" i="10" s="1"/>
  <c r="X100" i="10" s="1"/>
  <c r="AB64" i="10"/>
  <c r="BT38" i="10"/>
  <c r="AE61" i="10"/>
  <c r="DT60" i="10"/>
  <c r="DQ59" i="10"/>
  <c r="CJ12" i="10"/>
  <c r="D21" i="11"/>
  <c r="D20" i="11" s="1"/>
  <c r="D24" i="11"/>
  <c r="X61" i="10"/>
  <c r="U93" i="10"/>
  <c r="U59" i="10"/>
  <c r="CP69" i="5"/>
  <c r="AD107" i="10"/>
  <c r="AD78" i="10"/>
  <c r="AD80" i="10"/>
  <c r="X68" i="5"/>
  <c r="Z68" i="5"/>
  <c r="X64" i="5"/>
  <c r="AB59" i="10"/>
  <c r="T64" i="5"/>
  <c r="U59" i="5"/>
  <c r="T68" i="5"/>
  <c r="BT18" i="10"/>
  <c r="CD91" i="10"/>
  <c r="O95" i="10" s="1"/>
  <c r="CD62" i="10"/>
  <c r="CD75" i="10"/>
  <c r="CD76" i="10" s="1"/>
  <c r="AA34" i="10"/>
  <c r="AD34" i="10" s="1"/>
  <c r="AG34" i="10" s="1"/>
  <c r="AJ34" i="10" s="1"/>
  <c r="AM34" i="10" s="1"/>
  <c r="AP34" i="10" s="1"/>
  <c r="AS34" i="10" s="1"/>
  <c r="AV34" i="10" s="1"/>
  <c r="AY34" i="10" s="1"/>
  <c r="BB34" i="10" s="1"/>
  <c r="BE34" i="10" s="1"/>
  <c r="BH34" i="10" s="1"/>
  <c r="BK34" i="10" s="1"/>
  <c r="BN34" i="10" s="1"/>
  <c r="BQ34" i="10" s="1"/>
  <c r="E34" i="10"/>
  <c r="D34" i="10" s="1"/>
  <c r="O69" i="5"/>
  <c r="P64" i="5"/>
  <c r="AA32" i="10"/>
  <c r="AD32" i="10" s="1"/>
  <c r="AG32" i="10" s="1"/>
  <c r="AJ32" i="10" s="1"/>
  <c r="AM32" i="10" s="1"/>
  <c r="AP32" i="10" s="1"/>
  <c r="AS32" i="10" s="1"/>
  <c r="AV32" i="10" s="1"/>
  <c r="AY32" i="10" s="1"/>
  <c r="BB32" i="10" s="1"/>
  <c r="BE32" i="10" s="1"/>
  <c r="BH32" i="10" s="1"/>
  <c r="BK32" i="10" s="1"/>
  <c r="BN32" i="10" s="1"/>
  <c r="BQ32" i="10" s="1"/>
  <c r="CP15" i="10"/>
  <c r="CM14" i="10"/>
  <c r="CM13" i="10" s="1"/>
  <c r="G83" i="10"/>
  <c r="BD60" i="10"/>
  <c r="AA38" i="10"/>
  <c r="AD38" i="10" s="1"/>
  <c r="AG38" i="10" s="1"/>
  <c r="AJ38" i="10" s="1"/>
  <c r="AM38" i="10" s="1"/>
  <c r="AP38" i="10" s="1"/>
  <c r="AS38" i="10" s="1"/>
  <c r="AV38" i="10" s="1"/>
  <c r="AY38" i="10" s="1"/>
  <c r="BB38" i="10" s="1"/>
  <c r="BE38" i="10" s="1"/>
  <c r="BH38" i="10" s="1"/>
  <c r="BK38" i="10" s="1"/>
  <c r="BN38" i="10" s="1"/>
  <c r="BQ38" i="10" s="1"/>
  <c r="DS63" i="10"/>
  <c r="DR92" i="10"/>
  <c r="AG46" i="10"/>
  <c r="AJ45" i="10"/>
  <c r="DT20" i="10"/>
  <c r="DW20" i="10" s="1"/>
  <c r="DZ20" i="10" s="1"/>
  <c r="EC20" i="10" s="1"/>
  <c r="EF20" i="10" s="1"/>
  <c r="DH20" i="10"/>
  <c r="DE20" i="10"/>
  <c r="DN20" i="10"/>
  <c r="DK20" i="10"/>
  <c r="DQ20" i="10"/>
  <c r="DB20" i="10"/>
  <c r="CY20" i="10"/>
  <c r="CV20" i="10"/>
  <c r="BT20" i="10" s="1"/>
  <c r="EK22" i="10" s="1"/>
  <c r="EM22" i="10" s="1"/>
  <c r="BE20" i="10"/>
  <c r="BH20" i="10" s="1"/>
  <c r="BK20" i="10" s="1"/>
  <c r="BN20" i="10" s="1"/>
  <c r="BQ20" i="10" s="1"/>
  <c r="AY20" i="10"/>
  <c r="AP20" i="10"/>
  <c r="AM20" i="10"/>
  <c r="AV20" i="10"/>
  <c r="AS20" i="10"/>
  <c r="BB20" i="10"/>
  <c r="AG20" i="10"/>
  <c r="E20" i="10" s="1"/>
  <c r="AJ20" i="10"/>
  <c r="Y69" i="5"/>
  <c r="E33" i="10"/>
  <c r="D33" i="10" s="1"/>
  <c r="D30" i="10"/>
  <c r="CP46" i="10"/>
  <c r="CS45" i="10"/>
  <c r="BT39" i="10"/>
  <c r="AA15" i="10"/>
  <c r="X14" i="10"/>
  <c r="X13" i="10" s="1"/>
  <c r="AA41" i="10"/>
  <c r="X40" i="10"/>
  <c r="CR69" i="5"/>
  <c r="CT69" i="5"/>
  <c r="CR93" i="10"/>
  <c r="CT64" i="10"/>
  <c r="CI91" i="10"/>
  <c r="T95" i="10" s="1"/>
  <c r="R98" i="10" s="1"/>
  <c r="CG74" i="10"/>
  <c r="CI62" i="10"/>
  <c r="CI66" i="10" s="1"/>
  <c r="BT19" i="10"/>
  <c r="CJ27" i="10"/>
  <c r="CJ23" i="10" s="1"/>
  <c r="BT22" i="10"/>
  <c r="D22" i="10" s="1"/>
  <c r="R66" i="10"/>
  <c r="R63" i="10"/>
  <c r="R64" i="10"/>
  <c r="AE59" i="10"/>
  <c r="AH60" i="10"/>
  <c r="BU75" i="10"/>
  <c r="F83" i="10" s="1"/>
  <c r="CP16" i="10"/>
  <c r="CM17" i="10"/>
  <c r="CM78" i="10"/>
  <c r="CM80" i="10"/>
  <c r="BR93" i="10"/>
  <c r="BS64" i="10"/>
  <c r="BS93" i="10" s="1"/>
  <c r="EG64" i="10"/>
  <c r="EE93" i="10"/>
  <c r="BP97" i="10" s="1"/>
  <c r="BN100" i="10" s="1"/>
  <c r="AA16" i="10"/>
  <c r="AD16" i="10" s="1"/>
  <c r="X17" i="10"/>
  <c r="AC55" i="1"/>
  <c r="AC53" i="1" s="1"/>
  <c r="AB53" i="1"/>
  <c r="AA19" i="10"/>
  <c r="AD19" i="10" s="1"/>
  <c r="AG19" i="10" s="1"/>
  <c r="AJ19" i="10" s="1"/>
  <c r="AM19" i="10" s="1"/>
  <c r="AP19" i="10" s="1"/>
  <c r="AS19" i="10" s="1"/>
  <c r="AV19" i="10" s="1"/>
  <c r="AY19" i="10" s="1"/>
  <c r="BB19" i="10" s="1"/>
  <c r="BE19" i="10" s="1"/>
  <c r="BH19" i="10" s="1"/>
  <c r="BK19" i="10" s="1"/>
  <c r="BN19" i="10" s="1"/>
  <c r="BQ19" i="10" s="1"/>
  <c r="E19" i="10" s="1"/>
  <c r="D19" i="10" s="1"/>
  <c r="AA29" i="10"/>
  <c r="AD29" i="10" s="1"/>
  <c r="CP37" i="10"/>
  <c r="CM36" i="10"/>
  <c r="R99" i="10"/>
  <c r="CP55" i="10"/>
  <c r="CM50" i="10"/>
  <c r="CM28" i="10" s="1"/>
  <c r="CM27" i="10" s="1"/>
  <c r="CM23" i="10" s="1"/>
  <c r="U27" i="10"/>
  <c r="U23" i="10" s="1"/>
  <c r="U12" i="10" s="1"/>
  <c r="CP44" i="10"/>
  <c r="CM42" i="10"/>
  <c r="AA39" i="10"/>
  <c r="AD39" i="10" s="1"/>
  <c r="AG39" i="10" s="1"/>
  <c r="AJ39" i="10" s="1"/>
  <c r="AM39" i="10" s="1"/>
  <c r="AP39" i="10" s="1"/>
  <c r="AS39" i="10" s="1"/>
  <c r="AV39" i="10" s="1"/>
  <c r="AY39" i="10" s="1"/>
  <c r="BB39" i="10" s="1"/>
  <c r="BE39" i="10" s="1"/>
  <c r="BH39" i="10" s="1"/>
  <c r="BK39" i="10" s="1"/>
  <c r="BN39" i="10" s="1"/>
  <c r="BQ39" i="10" s="1"/>
  <c r="E39" i="10"/>
  <c r="D39" i="10" s="1"/>
  <c r="R15" i="12"/>
  <c r="S8" i="12"/>
  <c r="R6" i="12"/>
  <c r="R4" i="12" s="1"/>
  <c r="R14" i="12" s="1"/>
  <c r="J8" i="11"/>
  <c r="J31" i="11" s="1"/>
  <c r="J32" i="11"/>
  <c r="W91" i="10"/>
  <c r="W62" i="10"/>
  <c r="W66" i="10" s="1"/>
  <c r="U74" i="10"/>
  <c r="CP41" i="10"/>
  <c r="CM40" i="10"/>
  <c r="AC68" i="5"/>
  <c r="AA64" i="5"/>
  <c r="AA68" i="5"/>
  <c r="CU64" i="5"/>
  <c r="CW68" i="5"/>
  <c r="CU68" i="5"/>
  <c r="O76" i="10"/>
  <c r="Q9" i="12"/>
  <c r="Q12" i="12" s="1"/>
  <c r="Q13" i="12" s="1"/>
  <c r="AA21" i="10"/>
  <c r="AD21" i="10" s="1"/>
  <c r="AG21" i="10" s="1"/>
  <c r="AJ21" i="10" s="1"/>
  <c r="AM21" i="10" s="1"/>
  <c r="AP21" i="10" s="1"/>
  <c r="AS21" i="10" s="1"/>
  <c r="AV21" i="10" s="1"/>
  <c r="AY21" i="10" s="1"/>
  <c r="BB21" i="10" s="1"/>
  <c r="BE21" i="10" s="1"/>
  <c r="BH21" i="10" s="1"/>
  <c r="BK21" i="10" s="1"/>
  <c r="BN21" i="10" s="1"/>
  <c r="BQ21" i="10" s="1"/>
  <c r="E21" i="10"/>
  <c r="D21" i="10" s="1"/>
  <c r="AA44" i="10"/>
  <c r="X42" i="10"/>
  <c r="E35" i="10"/>
  <c r="D35" i="10" s="1"/>
  <c r="DH25" i="10"/>
  <c r="DE24" i="10"/>
  <c r="Z58" i="10"/>
  <c r="AU64" i="10"/>
  <c r="AT93" i="10"/>
  <c r="CK92" i="10"/>
  <c r="CL63" i="10"/>
  <c r="G8" i="12"/>
  <c r="G15" i="12" s="1"/>
  <c r="EK21" i="10" l="1"/>
  <c r="D20" i="10"/>
  <c r="CL92" i="10"/>
  <c r="W96" i="10" s="1"/>
  <c r="CN63" i="10"/>
  <c r="CL58" i="10"/>
  <c r="CS46" i="10"/>
  <c r="CV45" i="10"/>
  <c r="CJ58" i="10"/>
  <c r="CJ11" i="10"/>
  <c r="D32" i="11"/>
  <c r="D8" i="11"/>
  <c r="D31" i="11" s="1"/>
  <c r="AW64" i="10"/>
  <c r="AU93" i="10"/>
  <c r="CS41" i="10"/>
  <c r="CP40" i="10"/>
  <c r="U56" i="10"/>
  <c r="U58" i="10"/>
  <c r="AG16" i="10"/>
  <c r="AD17" i="10"/>
  <c r="CP78" i="10"/>
  <c r="CP80" i="10"/>
  <c r="AJ46" i="10"/>
  <c r="AM45" i="10"/>
  <c r="BG60" i="10"/>
  <c r="U64" i="5"/>
  <c r="T69" i="5"/>
  <c r="BG63" i="10"/>
  <c r="BF92" i="10"/>
  <c r="AA50" i="10"/>
  <c r="AA28" i="10" s="1"/>
  <c r="AD55" i="10"/>
  <c r="S69" i="5"/>
  <c r="W69" i="5"/>
  <c r="AG29" i="10"/>
  <c r="AJ29" i="10" s="1"/>
  <c r="AM29" i="10" s="1"/>
  <c r="AD27" i="10"/>
  <c r="S15" i="12"/>
  <c r="S6" i="12"/>
  <c r="S4" i="12" s="1"/>
  <c r="S14" i="12" s="1"/>
  <c r="T8" i="12"/>
  <c r="Z91" i="10"/>
  <c r="Z95" i="10" s="1"/>
  <c r="X98" i="10" s="1"/>
  <c r="Z62" i="10"/>
  <c r="Z66" i="10" s="1"/>
  <c r="AD44" i="10"/>
  <c r="AA42" i="10"/>
  <c r="CU69" i="5"/>
  <c r="CW69" i="5"/>
  <c r="U75" i="10"/>
  <c r="R9" i="12"/>
  <c r="R12" i="12" s="1"/>
  <c r="R13" i="12" s="1"/>
  <c r="CS16" i="10"/>
  <c r="CP17" i="10"/>
  <c r="CG75" i="10"/>
  <c r="AD41" i="10"/>
  <c r="AA40" i="10"/>
  <c r="AG107" i="10"/>
  <c r="AG78" i="10"/>
  <c r="AG80" i="10"/>
  <c r="AB91" i="10"/>
  <c r="AB95" i="10" s="1"/>
  <c r="AB62" i="10"/>
  <c r="DT59" i="10"/>
  <c r="DW60" i="10"/>
  <c r="X74" i="10"/>
  <c r="CM12" i="10"/>
  <c r="X69" i="5"/>
  <c r="Z69" i="5"/>
  <c r="AI59" i="10"/>
  <c r="AL61" i="10"/>
  <c r="CS55" i="10"/>
  <c r="CP50" i="10"/>
  <c r="CP28" i="10" s="1"/>
  <c r="CP27" i="10" s="1"/>
  <c r="CT93" i="10"/>
  <c r="CU64" i="10"/>
  <c r="CS93" i="10" s="1"/>
  <c r="X12" i="10"/>
  <c r="DS92" i="10"/>
  <c r="DQ92" i="10" s="1"/>
  <c r="DU63" i="10"/>
  <c r="CS15" i="10"/>
  <c r="CP14" i="10"/>
  <c r="CP13" i="10" s="1"/>
  <c r="U97" i="10"/>
  <c r="AH61" i="10"/>
  <c r="AJ25" i="10"/>
  <c r="AG24" i="10"/>
  <c r="AG60" i="10"/>
  <c r="I6" i="12"/>
  <c r="I4" i="12" s="1"/>
  <c r="I14" i="12" s="1"/>
  <c r="I8" i="12"/>
  <c r="I15" i="12" s="1"/>
  <c r="J9" i="12"/>
  <c r="I12" i="12"/>
  <c r="I13" i="12" s="1"/>
  <c r="AE63" i="10"/>
  <c r="AC92" i="10"/>
  <c r="EG93" i="10"/>
  <c r="BR97" i="10" s="1"/>
  <c r="EF93" i="10"/>
  <c r="EH64" i="10"/>
  <c r="EH93" i="10" s="1"/>
  <c r="BS97" i="10" s="1"/>
  <c r="BC96" i="10"/>
  <c r="AK60" i="10"/>
  <c r="AH59" i="10"/>
  <c r="AD15" i="10"/>
  <c r="AA14" i="10"/>
  <c r="AA13" i="10" s="1"/>
  <c r="E38" i="10"/>
  <c r="D38" i="10" s="1"/>
  <c r="E32" i="10"/>
  <c r="D32" i="10" s="1"/>
  <c r="AA61" i="10"/>
  <c r="X93" i="10"/>
  <c r="X97" i="10" s="1"/>
  <c r="X59" i="10"/>
  <c r="CX68" i="5"/>
  <c r="CX64" i="5"/>
  <c r="CX69" i="5" s="1"/>
  <c r="DA59" i="5"/>
  <c r="DD59" i="5" s="1"/>
  <c r="DG59" i="5" s="1"/>
  <c r="DJ59" i="5" s="1"/>
  <c r="DM59" i="5" s="1"/>
  <c r="DP59" i="5" s="1"/>
  <c r="DS59" i="5" s="1"/>
  <c r="DV59" i="5" s="1"/>
  <c r="DY59" i="5" s="1"/>
  <c r="EB59" i="5" s="1"/>
  <c r="EE59" i="5" s="1"/>
  <c r="EH59" i="5" s="1"/>
  <c r="EK59" i="5" s="1"/>
  <c r="EN59" i="5" s="1"/>
  <c r="EQ59" i="5" s="1"/>
  <c r="AD37" i="10"/>
  <c r="AA36" i="10"/>
  <c r="AA92" i="10"/>
  <c r="CS44" i="10"/>
  <c r="CP42" i="10"/>
  <c r="H8" i="12"/>
  <c r="H15" i="12" s="1"/>
  <c r="D35" i="11"/>
  <c r="CN69" i="5"/>
  <c r="CO64" i="5"/>
  <c r="CG91" i="10"/>
  <c r="R95" i="10" s="1"/>
  <c r="CG62" i="10"/>
  <c r="CG65" i="10"/>
  <c r="DK25" i="10"/>
  <c r="DH24" i="10"/>
  <c r="AA69" i="5"/>
  <c r="AC69" i="5"/>
  <c r="CJ92" i="10"/>
  <c r="U96" i="10" s="1"/>
  <c r="V96" i="10"/>
  <c r="O83" i="10"/>
  <c r="O84" i="10" s="1"/>
  <c r="CS37" i="10"/>
  <c r="CP36" i="10"/>
  <c r="AB93" i="10"/>
  <c r="AB97" i="10" s="1"/>
  <c r="AC64" i="10"/>
  <c r="E18" i="10"/>
  <c r="D18" i="10" s="1"/>
  <c r="N24" i="12"/>
  <c r="O25" i="12"/>
  <c r="BQ100" i="10" l="1"/>
  <c r="AG15" i="10"/>
  <c r="AD14" i="10"/>
  <c r="AD13" i="10" s="1"/>
  <c r="AJ24" i="10"/>
  <c r="AM25" i="10"/>
  <c r="AA27" i="10"/>
  <c r="AA23" i="10" s="1"/>
  <c r="U91" i="10"/>
  <c r="U62" i="10"/>
  <c r="U65" i="10"/>
  <c r="O24" i="12"/>
  <c r="P25" i="12"/>
  <c r="DN25" i="10"/>
  <c r="DK24" i="10"/>
  <c r="X56" i="10"/>
  <c r="X11" i="10" s="1"/>
  <c r="X58" i="10"/>
  <c r="AO61" i="10"/>
  <c r="AL59" i="10"/>
  <c r="BD96" i="10"/>
  <c r="BB99" i="10" s="1"/>
  <c r="AJ107" i="10"/>
  <c r="AJ78" i="10"/>
  <c r="AJ80" i="10"/>
  <c r="CJ91" i="10"/>
  <c r="CJ65" i="10"/>
  <c r="CJ62" i="10"/>
  <c r="CV37" i="10"/>
  <c r="CS36" i="10"/>
  <c r="AF63" i="10"/>
  <c r="AE92" i="10"/>
  <c r="X75" i="10"/>
  <c r="U76" i="10"/>
  <c r="T15" i="12"/>
  <c r="U8" i="12"/>
  <c r="T6" i="12"/>
  <c r="T4" i="12" s="1"/>
  <c r="T14" i="12" s="1"/>
  <c r="AP45" i="10"/>
  <c r="AM46" i="10"/>
  <c r="U99" i="10"/>
  <c r="CV44" i="10"/>
  <c r="CS42" i="10"/>
  <c r="J8" i="12"/>
  <c r="J15" i="12" s="1"/>
  <c r="J12" i="12"/>
  <c r="J13" i="12" s="1"/>
  <c r="J6" i="12"/>
  <c r="J4" i="12" s="1"/>
  <c r="J14" i="12" s="1"/>
  <c r="K9" i="12"/>
  <c r="AK61" i="10"/>
  <c r="DW92" i="10"/>
  <c r="DZ60" i="10"/>
  <c r="DW59" i="10"/>
  <c r="AG41" i="10"/>
  <c r="AD40" i="10"/>
  <c r="BI63" i="10"/>
  <c r="BG92" i="10"/>
  <c r="CV46" i="10"/>
  <c r="CY45" i="10"/>
  <c r="CW64" i="10"/>
  <c r="CU93" i="10"/>
  <c r="CG76" i="10"/>
  <c r="R83" i="10"/>
  <c r="R84" i="10" s="1"/>
  <c r="EM21" i="10"/>
  <c r="EK20" i="10"/>
  <c r="AD61" i="10"/>
  <c r="AA59" i="10"/>
  <c r="AG44" i="10"/>
  <c r="AD42" i="10"/>
  <c r="CV15" i="10"/>
  <c r="CS14" i="10"/>
  <c r="CS13" i="10" s="1"/>
  <c r="CV16" i="10"/>
  <c r="CS17" i="10"/>
  <c r="AW93" i="10"/>
  <c r="AX64" i="10"/>
  <c r="CG64" i="10"/>
  <c r="CG66" i="10"/>
  <c r="CG63" i="10"/>
  <c r="CV41" i="10"/>
  <c r="CS40" i="10"/>
  <c r="AC93" i="10"/>
  <c r="AC97" i="10" s="1"/>
  <c r="AA100" i="10" s="1"/>
  <c r="AE64" i="10"/>
  <c r="AE58" i="10" s="1"/>
  <c r="AA93" i="10"/>
  <c r="AA97" i="10" s="1"/>
  <c r="AP29" i="10"/>
  <c r="AM27" i="10"/>
  <c r="AG37" i="10"/>
  <c r="AD36" i="10"/>
  <c r="AD23" i="10" s="1"/>
  <c r="AJ60" i="10"/>
  <c r="CP23" i="10"/>
  <c r="CP12" i="10" s="1"/>
  <c r="CM58" i="10"/>
  <c r="CM56" i="10"/>
  <c r="CM11" i="10"/>
  <c r="AJ16" i="10"/>
  <c r="CL91" i="10"/>
  <c r="W95" i="10" s="1"/>
  <c r="U98" i="10" s="1"/>
  <c r="CJ74" i="10"/>
  <c r="CL62" i="10"/>
  <c r="CL66" i="10" s="1"/>
  <c r="AN60" i="10"/>
  <c r="AK59" i="10"/>
  <c r="CS78" i="10"/>
  <c r="CS80" i="10"/>
  <c r="AA12" i="10"/>
  <c r="AC58" i="10"/>
  <c r="DV63" i="10"/>
  <c r="DV92" i="10" s="1"/>
  <c r="DU92" i="10"/>
  <c r="DT92" i="10" s="1"/>
  <c r="CV55" i="10"/>
  <c r="CS50" i="10"/>
  <c r="CS28" i="10" s="1"/>
  <c r="CS27" i="10" s="1"/>
  <c r="S9" i="12"/>
  <c r="S12" i="12" s="1"/>
  <c r="S13" i="12" s="1"/>
  <c r="AG55" i="10"/>
  <c r="AD50" i="10"/>
  <c r="BJ60" i="10"/>
  <c r="U11" i="10"/>
  <c r="CN92" i="10"/>
  <c r="CO63" i="10"/>
  <c r="AE91" i="10" l="1"/>
  <c r="AE95" i="10" s="1"/>
  <c r="AE62" i="10"/>
  <c r="CP56" i="10"/>
  <c r="AQ60" i="10"/>
  <c r="CY41" i="10"/>
  <c r="CV40" i="10"/>
  <c r="AM107" i="10"/>
  <c r="AM80" i="10"/>
  <c r="AM78" i="10"/>
  <c r="CJ64" i="10"/>
  <c r="CJ63" i="10"/>
  <c r="CJ66" i="10"/>
  <c r="BF96" i="10"/>
  <c r="DQ25" i="10"/>
  <c r="DN24" i="10"/>
  <c r="AP25" i="10"/>
  <c r="AM24" i="10"/>
  <c r="L9" i="12"/>
  <c r="K6" i="12"/>
  <c r="K4" i="12" s="1"/>
  <c r="K14" i="12" s="1"/>
  <c r="K12" i="12"/>
  <c r="K13" i="12" s="1"/>
  <c r="CY37" i="10"/>
  <c r="CV36" i="10"/>
  <c r="CS23" i="10"/>
  <c r="CM91" i="10"/>
  <c r="CM62" i="10"/>
  <c r="CM65" i="10"/>
  <c r="CM75" i="10"/>
  <c r="CM76" i="10" s="1"/>
  <c r="AJ37" i="10"/>
  <c r="AG36" i="10"/>
  <c r="CY16" i="10"/>
  <c r="CV17" i="10"/>
  <c r="AJ44" i="10"/>
  <c r="AG42" i="10"/>
  <c r="CW93" i="10"/>
  <c r="CX64" i="10"/>
  <c r="CV93" i="10"/>
  <c r="AJ41" i="10"/>
  <c r="AG40" i="10"/>
  <c r="AS45" i="10"/>
  <c r="AP46" i="10"/>
  <c r="P24" i="12"/>
  <c r="Q25" i="12"/>
  <c r="CY55" i="10"/>
  <c r="CV50" i="10"/>
  <c r="CV28" i="10" s="1"/>
  <c r="CV27" i="10" s="1"/>
  <c r="CS12" i="10"/>
  <c r="X76" i="10"/>
  <c r="X83" i="10"/>
  <c r="X84" i="10" s="1"/>
  <c r="BM60" i="10"/>
  <c r="AS29" i="10"/>
  <c r="AP27" i="10"/>
  <c r="CY15" i="10"/>
  <c r="CV14" i="10"/>
  <c r="CV13" i="10" s="1"/>
  <c r="AG61" i="10"/>
  <c r="AD59" i="10"/>
  <c r="CY46" i="10"/>
  <c r="DB45" i="10"/>
  <c r="EC60" i="10"/>
  <c r="DZ92" i="10"/>
  <c r="DZ59" i="10"/>
  <c r="U15" i="12"/>
  <c r="U6" i="12"/>
  <c r="U4" i="12" s="1"/>
  <c r="U14" i="12" s="1"/>
  <c r="AR61" i="10"/>
  <c r="AO59" i="10"/>
  <c r="AD12" i="10"/>
  <c r="AA56" i="10"/>
  <c r="AA58" i="10" s="1"/>
  <c r="CJ75" i="10"/>
  <c r="AM60" i="10"/>
  <c r="CV78" i="10"/>
  <c r="CV80" i="10"/>
  <c r="T9" i="12"/>
  <c r="T12" i="12" s="1"/>
  <c r="T13" i="12" s="1"/>
  <c r="AD92" i="10"/>
  <c r="X91" i="10"/>
  <c r="X62" i="10"/>
  <c r="X65" i="10"/>
  <c r="U66" i="10"/>
  <c r="U63" i="10"/>
  <c r="U64" i="10"/>
  <c r="AJ15" i="10"/>
  <c r="AG14" i="10"/>
  <c r="AG13" i="10" s="1"/>
  <c r="Y96" i="10"/>
  <c r="AM16" i="10"/>
  <c r="AJ17" i="10"/>
  <c r="AF64" i="10"/>
  <c r="AE93" i="10"/>
  <c r="AE97" i="10" s="1"/>
  <c r="AD93" i="10"/>
  <c r="AD97" i="10" s="1"/>
  <c r="AZ64" i="10"/>
  <c r="AX93" i="10"/>
  <c r="BG96" i="10"/>
  <c r="BE99" i="10" s="1"/>
  <c r="AN61" i="10"/>
  <c r="AN59" i="10" s="1"/>
  <c r="CY44" i="10"/>
  <c r="CV42" i="10"/>
  <c r="AH63" i="10"/>
  <c r="AF92" i="10"/>
  <c r="AF58" i="10"/>
  <c r="U95" i="10"/>
  <c r="CO92" i="10"/>
  <c r="Z96" i="10" s="1"/>
  <c r="X99" i="10" s="1"/>
  <c r="CQ63" i="10"/>
  <c r="AJ55" i="10"/>
  <c r="AG50" i="10"/>
  <c r="AG28" i="10" s="1"/>
  <c r="AC91" i="10"/>
  <c r="AC95" i="10" s="1"/>
  <c r="AA98" i="10" s="1"/>
  <c r="AA74" i="10"/>
  <c r="AC62" i="10"/>
  <c r="AC66" i="10" s="1"/>
  <c r="BJ63" i="10"/>
  <c r="BI92" i="10"/>
  <c r="BI96" i="10" s="1"/>
  <c r="AA91" i="10" l="1"/>
  <c r="AA62" i="10"/>
  <c r="AA65" i="10"/>
  <c r="AZ93" i="10"/>
  <c r="BA64" i="10"/>
  <c r="AD56" i="10"/>
  <c r="AD58" i="10" s="1"/>
  <c r="AV29" i="10"/>
  <c r="AY29" i="10" s="1"/>
  <c r="BB29" i="10" s="1"/>
  <c r="BE29" i="10" s="1"/>
  <c r="DB55" i="10"/>
  <c r="CY50" i="10"/>
  <c r="CY28" i="10" s="1"/>
  <c r="AM37" i="10"/>
  <c r="AJ36" i="10"/>
  <c r="DB37" i="10"/>
  <c r="CY36" i="10"/>
  <c r="AF91" i="10"/>
  <c r="AF95" i="10" s="1"/>
  <c r="AD98" i="10" s="1"/>
  <c r="AF62" i="10"/>
  <c r="AF66" i="10" s="1"/>
  <c r="X64" i="10"/>
  <c r="X63" i="10"/>
  <c r="X66" i="10"/>
  <c r="DB46" i="10"/>
  <c r="DE45" i="10"/>
  <c r="CZ64" i="10"/>
  <c r="CX93" i="10"/>
  <c r="K8" i="12"/>
  <c r="K15" i="12" s="1"/>
  <c r="CP11" i="10"/>
  <c r="CM66" i="10"/>
  <c r="CM64" i="10"/>
  <c r="CM63" i="10"/>
  <c r="AP16" i="10"/>
  <c r="AS16" i="10" s="1"/>
  <c r="AM17" i="10"/>
  <c r="EF60" i="10"/>
  <c r="EC59" i="10"/>
  <c r="EC92" i="10"/>
  <c r="DT25" i="10"/>
  <c r="DQ24" i="10"/>
  <c r="AA75" i="10"/>
  <c r="CM92" i="10"/>
  <c r="X96" i="10" s="1"/>
  <c r="X95" i="10"/>
  <c r="AP60" i="10"/>
  <c r="AU61" i="10"/>
  <c r="AR59" i="10"/>
  <c r="CY80" i="10"/>
  <c r="CY78" i="10"/>
  <c r="BP60" i="10"/>
  <c r="R25" i="12"/>
  <c r="Q24" i="12"/>
  <c r="DB41" i="10"/>
  <c r="CY40" i="10"/>
  <c r="CP58" i="10"/>
  <c r="AH92" i="10"/>
  <c r="AI63" i="10"/>
  <c r="AG27" i="10"/>
  <c r="AG23" i="10" s="1"/>
  <c r="CJ76" i="10"/>
  <c r="U83" i="10"/>
  <c r="U9" i="12"/>
  <c r="U12" i="12" s="1"/>
  <c r="U13" i="12" s="1"/>
  <c r="AJ61" i="10"/>
  <c r="AG59" i="10"/>
  <c r="AM44" i="10"/>
  <c r="AJ42" i="10"/>
  <c r="M9" i="12"/>
  <c r="L12" i="12"/>
  <c r="L13" i="12" s="1"/>
  <c r="L6" i="12"/>
  <c r="L4" i="12" s="1"/>
  <c r="L14" i="12" s="1"/>
  <c r="AM55" i="10"/>
  <c r="AJ50" i="10"/>
  <c r="AJ28" i="10" s="1"/>
  <c r="AJ27" i="10" s="1"/>
  <c r="AJ23" i="10" s="1"/>
  <c r="DB44" i="10"/>
  <c r="CY42" i="10"/>
  <c r="AA11" i="10"/>
  <c r="CV12" i="10"/>
  <c r="AV45" i="10"/>
  <c r="AS46" i="10"/>
  <c r="AD74" i="10"/>
  <c r="BL63" i="10"/>
  <c r="BJ92" i="10"/>
  <c r="BJ96" i="10" s="1"/>
  <c r="BH99" i="10" s="1"/>
  <c r="CR63" i="10"/>
  <c r="CQ92" i="10"/>
  <c r="AH64" i="10"/>
  <c r="AF93" i="10"/>
  <c r="AF97" i="10" s="1"/>
  <c r="AD100" i="10" s="1"/>
  <c r="DB15" i="10"/>
  <c r="CY14" i="10"/>
  <c r="CY13" i="10" s="1"/>
  <c r="CS58" i="10"/>
  <c r="CS11" i="10"/>
  <c r="DB16" i="10"/>
  <c r="CY17" i="10"/>
  <c r="AS25" i="10"/>
  <c r="AP24" i="10"/>
  <c r="AG12" i="10"/>
  <c r="AM15" i="10"/>
  <c r="AJ14" i="10"/>
  <c r="AJ13" i="10" s="1"/>
  <c r="AP107" i="10"/>
  <c r="AP80" i="10"/>
  <c r="AP78" i="10"/>
  <c r="AQ61" i="10"/>
  <c r="CV23" i="10"/>
  <c r="AM41" i="10"/>
  <c r="AJ40" i="10"/>
  <c r="AT60" i="10"/>
  <c r="AQ59" i="10"/>
  <c r="AD91" i="10" l="1"/>
  <c r="AD65" i="10"/>
  <c r="AD62" i="10"/>
  <c r="AB96" i="10"/>
  <c r="AM61" i="10"/>
  <c r="AJ59" i="10"/>
  <c r="AP37" i="10"/>
  <c r="AM36" i="10"/>
  <c r="BC64" i="10"/>
  <c r="BA93" i="10"/>
  <c r="DE16" i="10"/>
  <c r="DB17" i="10"/>
  <c r="CT63" i="10"/>
  <c r="CR92" i="10"/>
  <c r="AC96" i="10" s="1"/>
  <c r="AA99" i="10" s="1"/>
  <c r="AY45" i="10"/>
  <c r="AV46" i="10"/>
  <c r="CY27" i="10"/>
  <c r="CY23" i="10" s="1"/>
  <c r="CY12" i="10" s="1"/>
  <c r="DW25" i="10"/>
  <c r="DT24" i="10"/>
  <c r="AS107" i="10"/>
  <c r="AS78" i="10"/>
  <c r="AS80" i="10"/>
  <c r="M6" i="12"/>
  <c r="M4" i="12" s="1"/>
  <c r="M14" i="12" s="1"/>
  <c r="M12" i="12"/>
  <c r="M13" i="12" s="1"/>
  <c r="AA66" i="10"/>
  <c r="AA64" i="10"/>
  <c r="AA63" i="10"/>
  <c r="AH93" i="10"/>
  <c r="AH97" i="10" s="1"/>
  <c r="AI64" i="10"/>
  <c r="AI58" i="10" s="1"/>
  <c r="BS60" i="10"/>
  <c r="AP41" i="10"/>
  <c r="AM40" i="10"/>
  <c r="AP55" i="10"/>
  <c r="AM50" i="10"/>
  <c r="EF59" i="10"/>
  <c r="EF92" i="10"/>
  <c r="AP15" i="10"/>
  <c r="AM14" i="10"/>
  <c r="AM13" i="10" s="1"/>
  <c r="AT61" i="10"/>
  <c r="AG11" i="10"/>
  <c r="AG56" i="10"/>
  <c r="AG58" i="10" s="1"/>
  <c r="L8" i="12"/>
  <c r="L15" i="12" s="1"/>
  <c r="DE41" i="10"/>
  <c r="DB40" i="10"/>
  <c r="CZ93" i="10"/>
  <c r="DA64" i="10"/>
  <c r="CY93" i="10"/>
  <c r="BH29" i="10"/>
  <c r="BK29" i="10" s="1"/>
  <c r="BE27" i="10"/>
  <c r="AA95" i="10"/>
  <c r="AH58" i="10"/>
  <c r="CP75" i="10"/>
  <c r="CP91" i="10"/>
  <c r="CP65" i="10"/>
  <c r="CP62" i="10"/>
  <c r="BM63" i="10"/>
  <c r="BL92" i="10"/>
  <c r="BL96" i="10" s="1"/>
  <c r="AT59" i="10"/>
  <c r="AS92" i="10"/>
  <c r="AS96" i="10" s="1"/>
  <c r="AW60" i="10"/>
  <c r="AT58" i="10"/>
  <c r="DE15" i="10"/>
  <c r="DB14" i="10"/>
  <c r="DB13" i="10" s="1"/>
  <c r="DB12" i="10" s="1"/>
  <c r="AD75" i="10"/>
  <c r="AX61" i="10"/>
  <c r="AU58" i="10"/>
  <c r="AU59" i="10"/>
  <c r="AA76" i="10"/>
  <c r="AA83" i="10"/>
  <c r="AV16" i="10"/>
  <c r="AS17" i="10"/>
  <c r="DH45" i="10"/>
  <c r="DE46" i="10"/>
  <c r="DB36" i="10"/>
  <c r="DE37" i="10"/>
  <c r="AD11" i="10"/>
  <c r="AS60" i="10"/>
  <c r="AI92" i="10"/>
  <c r="AK63" i="10"/>
  <c r="AJ12" i="10"/>
  <c r="CV56" i="10"/>
  <c r="CV58" i="10" s="1"/>
  <c r="U84" i="10"/>
  <c r="DE55" i="10"/>
  <c r="DB50" i="10"/>
  <c r="DB28" i="10" s="1"/>
  <c r="DB27" i="10" s="1"/>
  <c r="DB23" i="10" s="1"/>
  <c r="CS91" i="10"/>
  <c r="CS62" i="10"/>
  <c r="CS65" i="10"/>
  <c r="CS75" i="10"/>
  <c r="AV25" i="10"/>
  <c r="AS24" i="10"/>
  <c r="DE44" i="10"/>
  <c r="DB42" i="10"/>
  <c r="AP44" i="10"/>
  <c r="AM42" i="10"/>
  <c r="S25" i="12"/>
  <c r="R24" i="12"/>
  <c r="DB80" i="10"/>
  <c r="DB78" i="10"/>
  <c r="AI91" i="10" l="1"/>
  <c r="AI95" i="10" s="1"/>
  <c r="AI62" i="10"/>
  <c r="CV91" i="10"/>
  <c r="CV65" i="10"/>
  <c r="CV62" i="10"/>
  <c r="CV75" i="10"/>
  <c r="CV76" i="10" s="1"/>
  <c r="AG91" i="10"/>
  <c r="AG95" i="10" s="1"/>
  <c r="AG62" i="10"/>
  <c r="AG65" i="10"/>
  <c r="CY56" i="10"/>
  <c r="CY58" i="10"/>
  <c r="CY11" i="10"/>
  <c r="AY16" i="10"/>
  <c r="AV17" i="10"/>
  <c r="AD83" i="10"/>
  <c r="AD76" i="10"/>
  <c r="M8" i="12"/>
  <c r="M15" i="12" s="1"/>
  <c r="CU63" i="10"/>
  <c r="CT92" i="10"/>
  <c r="AP61" i="10"/>
  <c r="AM59" i="10"/>
  <c r="T25" i="12"/>
  <c r="S24" i="12"/>
  <c r="CV11" i="10"/>
  <c r="AV60" i="10"/>
  <c r="DB58" i="10"/>
  <c r="DB56" i="10"/>
  <c r="DB11" i="10"/>
  <c r="AG93" i="10"/>
  <c r="AG97" i="10" s="1"/>
  <c r="DE40" i="10"/>
  <c r="DH41" i="10"/>
  <c r="AS44" i="10"/>
  <c r="AP42" i="10"/>
  <c r="CS66" i="10"/>
  <c r="DE36" i="10"/>
  <c r="DH37" i="10"/>
  <c r="CP66" i="10"/>
  <c r="CP64" i="10"/>
  <c r="CS64" i="10" s="1"/>
  <c r="CP63" i="10"/>
  <c r="CS63" i="10" s="1"/>
  <c r="AS55" i="10"/>
  <c r="AP50" i="10"/>
  <c r="AG92" i="10"/>
  <c r="AD64" i="10"/>
  <c r="AD66" i="10"/>
  <c r="AD63" i="10"/>
  <c r="AP14" i="10"/>
  <c r="AP13" i="10" s="1"/>
  <c r="AS15" i="10"/>
  <c r="BN29" i="10"/>
  <c r="BQ29" i="10" s="1"/>
  <c r="E29" i="10" s="1"/>
  <c r="D29" i="10" s="1"/>
  <c r="BK27" i="10"/>
  <c r="CP92" i="10"/>
  <c r="AA96" i="10" s="1"/>
  <c r="AJ56" i="10"/>
  <c r="AJ58" i="10"/>
  <c r="AJ11" i="10"/>
  <c r="DA93" i="10"/>
  <c r="DC64" i="10"/>
  <c r="AW61" i="10"/>
  <c r="BC93" i="10"/>
  <c r="BD64" i="10"/>
  <c r="AY25" i="10"/>
  <c r="AV24" i="10"/>
  <c r="AH91" i="10"/>
  <c r="AH95" i="10" s="1"/>
  <c r="AH62" i="10"/>
  <c r="AG74" i="10"/>
  <c r="AG75" i="10" s="1"/>
  <c r="DZ25" i="10"/>
  <c r="DW24" i="10"/>
  <c r="DH15" i="10"/>
  <c r="DE14" i="10"/>
  <c r="DE13" i="10" s="1"/>
  <c r="DH44" i="10"/>
  <c r="DE42" i="10"/>
  <c r="DE78" i="10"/>
  <c r="DE80" i="10"/>
  <c r="AU91" i="10"/>
  <c r="AU95" i="10" s="1"/>
  <c r="AU62" i="10"/>
  <c r="AT91" i="10"/>
  <c r="AT95" i="10" s="1"/>
  <c r="AS74" i="10"/>
  <c r="AT62" i="10"/>
  <c r="AS41" i="10"/>
  <c r="AP40" i="10"/>
  <c r="AV107" i="10"/>
  <c r="AV78" i="10"/>
  <c r="AV80" i="10"/>
  <c r="AM23" i="10"/>
  <c r="AM12" i="10" s="1"/>
  <c r="AD95" i="10"/>
  <c r="BO63" i="10"/>
  <c r="BM92" i="10"/>
  <c r="BM96" i="10" s="1"/>
  <c r="BK99" i="10" s="1"/>
  <c r="AK64" i="10"/>
  <c r="AK58" i="10" s="1"/>
  <c r="AI93" i="10"/>
  <c r="AI97" i="10" s="1"/>
  <c r="AG100" i="10" s="1"/>
  <c r="DH16" i="10"/>
  <c r="DE17" i="10"/>
  <c r="DH55" i="10"/>
  <c r="DE50" i="10"/>
  <c r="DE28" i="10" s="1"/>
  <c r="DE27" i="10" s="1"/>
  <c r="DE23" i="10" s="1"/>
  <c r="AL63" i="10"/>
  <c r="AK92" i="10"/>
  <c r="DH46" i="10"/>
  <c r="DK45" i="10"/>
  <c r="BA61" i="10"/>
  <c r="AX58" i="10"/>
  <c r="AX59" i="10"/>
  <c r="AW59" i="10"/>
  <c r="AZ60" i="10"/>
  <c r="AV92" i="10"/>
  <c r="AV96" i="10" s="1"/>
  <c r="CP76" i="10"/>
  <c r="AY46" i="10"/>
  <c r="BB45" i="10"/>
  <c r="AS37" i="10"/>
  <c r="AP36" i="10"/>
  <c r="AK91" i="10" l="1"/>
  <c r="AK95" i="10" s="1"/>
  <c r="AK62" i="10"/>
  <c r="AM56" i="10"/>
  <c r="AM58" i="10" s="1"/>
  <c r="AY107" i="10"/>
  <c r="AY78" i="10"/>
  <c r="AY80" i="10"/>
  <c r="U25" i="12"/>
  <c r="T24" i="12"/>
  <c r="AG64" i="10"/>
  <c r="AG66" i="10"/>
  <c r="AG63" i="10"/>
  <c r="AV41" i="10"/>
  <c r="AS40" i="10"/>
  <c r="DD64" i="10"/>
  <c r="DC93" i="10"/>
  <c r="DB93" i="10"/>
  <c r="AD84" i="10"/>
  <c r="AX91" i="10"/>
  <c r="AX95" i="10" s="1"/>
  <c r="AX62" i="10"/>
  <c r="AX66" i="10" s="1"/>
  <c r="AV74" i="10"/>
  <c r="DK55" i="10"/>
  <c r="DH50" i="10"/>
  <c r="DH28" i="10" s="1"/>
  <c r="DH27" i="10" s="1"/>
  <c r="BD61" i="10"/>
  <c r="BA58" i="10"/>
  <c r="BA59" i="10"/>
  <c r="BO92" i="10"/>
  <c r="BO96" i="10" s="1"/>
  <c r="BP63" i="10"/>
  <c r="AV15" i="10"/>
  <c r="AS14" i="10"/>
  <c r="AS13" i="10" s="1"/>
  <c r="AV55" i="10"/>
  <c r="AS50" i="10"/>
  <c r="AS28" i="10" s="1"/>
  <c r="AS61" i="10"/>
  <c r="AP93" i="10"/>
  <c r="AP59" i="10"/>
  <c r="BB16" i="10"/>
  <c r="AY17" i="10"/>
  <c r="DH78" i="10"/>
  <c r="DH80" i="10"/>
  <c r="DE12" i="10"/>
  <c r="BB25" i="10"/>
  <c r="AY24" i="10"/>
  <c r="AJ65" i="10"/>
  <c r="AJ62" i="10"/>
  <c r="AJ91" i="10"/>
  <c r="AV44" i="10"/>
  <c r="AS42" i="10"/>
  <c r="CU92" i="10"/>
  <c r="AF96" i="10" s="1"/>
  <c r="AD99" i="10" s="1"/>
  <c r="CW63" i="10"/>
  <c r="AP12" i="10"/>
  <c r="CV63" i="10"/>
  <c r="CV66" i="10"/>
  <c r="CV64" i="10"/>
  <c r="AP23" i="10"/>
  <c r="AV37" i="10"/>
  <c r="AS36" i="10"/>
  <c r="DK16" i="10"/>
  <c r="DH17" i="10"/>
  <c r="AU66" i="10"/>
  <c r="DK15" i="10"/>
  <c r="DH14" i="10"/>
  <c r="DH13" i="10" s="1"/>
  <c r="BF64" i="10"/>
  <c r="BD93" i="10"/>
  <c r="DH40" i="10"/>
  <c r="DK41" i="10"/>
  <c r="AY60" i="10"/>
  <c r="CY91" i="10"/>
  <c r="CY65" i="10"/>
  <c r="CY62" i="10"/>
  <c r="DK46" i="10"/>
  <c r="DN45" i="10"/>
  <c r="DB91" i="10"/>
  <c r="DB62" i="10"/>
  <c r="DB65" i="10"/>
  <c r="BC60" i="10"/>
  <c r="AZ58" i="10"/>
  <c r="AZ59" i="10"/>
  <c r="AK96" i="10"/>
  <c r="AJ92" i="10"/>
  <c r="AS98" i="10"/>
  <c r="DK37" i="10"/>
  <c r="DH36" i="10"/>
  <c r="AI66" i="10"/>
  <c r="AG83" i="10"/>
  <c r="AG84" i="10" s="1"/>
  <c r="DH42" i="10"/>
  <c r="DK44" i="10"/>
  <c r="AE96" i="10"/>
  <c r="BB46" i="10"/>
  <c r="BE45" i="10"/>
  <c r="AW91" i="10"/>
  <c r="AW95" i="10" s="1"/>
  <c r="AW62" i="10"/>
  <c r="AN63" i="10"/>
  <c r="AL92" i="10"/>
  <c r="AK93" i="10"/>
  <c r="AK97" i="10" s="1"/>
  <c r="AL64" i="10"/>
  <c r="AJ93" i="10"/>
  <c r="AJ97" i="10" s="1"/>
  <c r="EC25" i="10"/>
  <c r="DZ24" i="10"/>
  <c r="AZ61" i="10"/>
  <c r="AG98" i="10"/>
  <c r="AM91" i="10" l="1"/>
  <c r="AM95" i="10" s="1"/>
  <c r="AM65" i="10"/>
  <c r="AM62" i="10"/>
  <c r="BE16" i="10"/>
  <c r="BB17" i="10"/>
  <c r="BB60" i="10"/>
  <c r="AP56" i="10"/>
  <c r="AP58" i="10" s="1"/>
  <c r="AP11" i="10"/>
  <c r="AV98" i="10"/>
  <c r="DB66" i="10"/>
  <c r="BR63" i="10"/>
  <c r="BP92" i="10"/>
  <c r="BP96" i="10" s="1"/>
  <c r="BN99" i="10" s="1"/>
  <c r="DN41" i="10"/>
  <c r="DK40" i="10"/>
  <c r="DN16" i="10"/>
  <c r="DK17" i="10"/>
  <c r="CW92" i="10"/>
  <c r="CX63" i="10"/>
  <c r="BE25" i="10"/>
  <c r="BB24" i="10"/>
  <c r="AM11" i="10"/>
  <c r="AO63" i="10"/>
  <c r="EF25" i="10"/>
  <c r="EC24" i="10"/>
  <c r="DE56" i="10"/>
  <c r="DE58" i="10" s="1"/>
  <c r="DE11" i="10"/>
  <c r="AV61" i="10"/>
  <c r="AS93" i="10"/>
  <c r="AS59" i="10"/>
  <c r="BA91" i="10"/>
  <c r="BA62" i="10"/>
  <c r="DK78" i="10"/>
  <c r="DK80" i="10"/>
  <c r="AS27" i="10"/>
  <c r="AS23" i="10" s="1"/>
  <c r="AS12" i="10" s="1"/>
  <c r="BG61" i="10"/>
  <c r="BD58" i="10"/>
  <c r="BD59" i="10"/>
  <c r="AY41" i="10"/>
  <c r="AV40" i="10"/>
  <c r="AN64" i="10"/>
  <c r="AN58" i="10" s="1"/>
  <c r="AL93" i="10"/>
  <c r="AL97" i="10" s="1"/>
  <c r="AJ100" i="10" s="1"/>
  <c r="AZ91" i="10"/>
  <c r="AY74" i="10"/>
  <c r="AZ62" i="10"/>
  <c r="BB92" i="10"/>
  <c r="BB96" i="10" s="1"/>
  <c r="BF60" i="10"/>
  <c r="CY63" i="10"/>
  <c r="DB63" i="10" s="1"/>
  <c r="CY66" i="10"/>
  <c r="CY64" i="10"/>
  <c r="DB64" i="10" s="1"/>
  <c r="BG64" i="10"/>
  <c r="BF93" i="10"/>
  <c r="AV42" i="10"/>
  <c r="AY44" i="10"/>
  <c r="AY55" i="10"/>
  <c r="AV50" i="10"/>
  <c r="AV28" i="10" s="1"/>
  <c r="AV27" i="10" s="1"/>
  <c r="AV23" i="10" s="1"/>
  <c r="DH23" i="10"/>
  <c r="DH12" i="10" s="1"/>
  <c r="V25" i="12"/>
  <c r="U24" i="12"/>
  <c r="BE46" i="10"/>
  <c r="BH45" i="10"/>
  <c r="DQ45" i="10"/>
  <c r="DN46" i="10"/>
  <c r="AY92" i="10"/>
  <c r="AY96" i="10" s="1"/>
  <c r="AJ95" i="10"/>
  <c r="DN55" i="10"/>
  <c r="DK50" i="10"/>
  <c r="DK28" i="10" s="1"/>
  <c r="DK27" i="10" s="1"/>
  <c r="DD93" i="10"/>
  <c r="DF64" i="10"/>
  <c r="BB107" i="10"/>
  <c r="BB78" i="10"/>
  <c r="BB80" i="10"/>
  <c r="AY37" i="10"/>
  <c r="AV36" i="10"/>
  <c r="DN37" i="10"/>
  <c r="DK36" i="10"/>
  <c r="CS92" i="10"/>
  <c r="AD96" i="10" s="1"/>
  <c r="BC61" i="10"/>
  <c r="AL58" i="10"/>
  <c r="DN44" i="10"/>
  <c r="DK42" i="10"/>
  <c r="DN15" i="10"/>
  <c r="DK14" i="10"/>
  <c r="DK13" i="10" s="1"/>
  <c r="AJ63" i="10"/>
  <c r="AJ66" i="10"/>
  <c r="AJ64" i="10"/>
  <c r="AY15" i="10"/>
  <c r="AV14" i="10"/>
  <c r="AV13" i="10" s="1"/>
  <c r="AP91" i="10" l="1"/>
  <c r="AP62" i="10"/>
  <c r="AP65" i="10"/>
  <c r="DH58" i="10"/>
  <c r="DH11" i="10"/>
  <c r="AN91" i="10"/>
  <c r="AN95" i="10" s="1"/>
  <c r="AN62" i="10"/>
  <c r="AS56" i="10"/>
  <c r="AS58" i="10"/>
  <c r="AS11" i="10"/>
  <c r="DE91" i="10"/>
  <c r="DE62" i="10"/>
  <c r="DE65" i="10"/>
  <c r="BF61" i="10"/>
  <c r="V24" i="12"/>
  <c r="W25" i="12"/>
  <c r="BJ61" i="10"/>
  <c r="BG58" i="10"/>
  <c r="BG59" i="10"/>
  <c r="BE60" i="10"/>
  <c r="BD91" i="10"/>
  <c r="BD62" i="10"/>
  <c r="AY61" i="10"/>
  <c r="AV93" i="10"/>
  <c r="AV59" i="10"/>
  <c r="AO92" i="10"/>
  <c r="AQ63" i="10"/>
  <c r="DQ16" i="10"/>
  <c r="DT16" i="10" s="1"/>
  <c r="DN17" i="10"/>
  <c r="DN14" i="10"/>
  <c r="DN13" i="10" s="1"/>
  <c r="DQ15" i="10"/>
  <c r="DN78" i="10"/>
  <c r="DN80" i="10"/>
  <c r="BB55" i="10"/>
  <c r="AY50" i="10"/>
  <c r="AY28" i="10" s="1"/>
  <c r="AY27" i="10" s="1"/>
  <c r="BF58" i="10"/>
  <c r="BI60" i="10"/>
  <c r="AN93" i="10"/>
  <c r="AN97" i="10" s="1"/>
  <c r="AO64" i="10"/>
  <c r="AO93" i="10" s="1"/>
  <c r="AO97" i="10" s="1"/>
  <c r="AM100" i="10" s="1"/>
  <c r="DQ41" i="10"/>
  <c r="DN40" i="10"/>
  <c r="BH16" i="10"/>
  <c r="BE17" i="10"/>
  <c r="BI64" i="10"/>
  <c r="BG93" i="10"/>
  <c r="DG64" i="10"/>
  <c r="DF93" i="10"/>
  <c r="AQ97" i="10" s="1"/>
  <c r="DK23" i="10"/>
  <c r="DQ46" i="10"/>
  <c r="DT45" i="10"/>
  <c r="AY42" i="10"/>
  <c r="BB44" i="10"/>
  <c r="BC58" i="10"/>
  <c r="AM63" i="10"/>
  <c r="AM66" i="10"/>
  <c r="AM64" i="10"/>
  <c r="DK12" i="10"/>
  <c r="DQ37" i="10"/>
  <c r="DN36" i="10"/>
  <c r="AV12" i="10"/>
  <c r="DN42" i="10"/>
  <c r="DQ44" i="10"/>
  <c r="DQ55" i="10"/>
  <c r="DN50" i="10"/>
  <c r="DN28" i="10" s="1"/>
  <c r="DN27" i="10" s="1"/>
  <c r="BK45" i="10"/>
  <c r="BH46" i="10"/>
  <c r="BB41" i="10"/>
  <c r="AY40" i="10"/>
  <c r="BA66" i="10"/>
  <c r="BH25" i="10"/>
  <c r="BE24" i="10"/>
  <c r="CV92" i="10"/>
  <c r="AG96" i="10" s="1"/>
  <c r="AH96" i="10"/>
  <c r="BB15" i="10"/>
  <c r="AY14" i="10"/>
  <c r="AY13" i="10" s="1"/>
  <c r="AL91" i="10"/>
  <c r="AL62" i="10"/>
  <c r="AL66" i="10" s="1"/>
  <c r="AJ74" i="10"/>
  <c r="AJ75" i="10" s="1"/>
  <c r="BB37" i="10"/>
  <c r="AY36" i="10"/>
  <c r="BE107" i="10"/>
  <c r="BE78" i="10"/>
  <c r="BE80" i="10"/>
  <c r="BC59" i="10"/>
  <c r="EF24" i="10"/>
  <c r="BT25" i="10"/>
  <c r="CX92" i="10"/>
  <c r="AI96" i="10" s="1"/>
  <c r="AG99" i="10" s="1"/>
  <c r="CZ63" i="10"/>
  <c r="DA63" i="10" s="1"/>
  <c r="BS63" i="10"/>
  <c r="BS92" i="10" s="1"/>
  <c r="BS96" i="10" s="1"/>
  <c r="BQ99" i="10" s="1"/>
  <c r="BR92" i="10"/>
  <c r="BR96" i="10" s="1"/>
  <c r="BH60" i="10" l="1"/>
  <c r="DA92" i="10"/>
  <c r="DC63" i="10"/>
  <c r="DA58" i="10"/>
  <c r="BE15" i="10"/>
  <c r="BB14" i="10"/>
  <c r="BB13" i="10" s="1"/>
  <c r="BE41" i="10"/>
  <c r="BB40" i="10"/>
  <c r="BE44" i="10"/>
  <c r="BB42" i="10"/>
  <c r="BI61" i="10"/>
  <c r="BC91" i="10"/>
  <c r="BC95" i="10" s="1"/>
  <c r="BB74" i="10"/>
  <c r="BC62" i="10"/>
  <c r="AM92" i="10"/>
  <c r="BH107" i="10"/>
  <c r="BH78" i="10"/>
  <c r="BH80" i="10"/>
  <c r="DT37" i="10"/>
  <c r="DQ36" i="10"/>
  <c r="BI93" i="10"/>
  <c r="BI97" i="10" s="1"/>
  <c r="BJ64" i="10"/>
  <c r="BJ93" i="10" s="1"/>
  <c r="BJ97" i="10" s="1"/>
  <c r="BH100" i="10" s="1"/>
  <c r="BL60" i="10"/>
  <c r="BH92" i="10"/>
  <c r="BH96" i="10" s="1"/>
  <c r="BI58" i="10"/>
  <c r="BI59" i="10"/>
  <c r="DT15" i="10"/>
  <c r="DQ14" i="10"/>
  <c r="DQ13" i="10" s="1"/>
  <c r="DK56" i="10"/>
  <c r="DK58" i="10"/>
  <c r="DK11" i="10"/>
  <c r="DT46" i="10"/>
  <c r="DW45" i="10"/>
  <c r="BG91" i="10"/>
  <c r="BG95" i="10" s="1"/>
  <c r="BG62" i="10"/>
  <c r="BE37" i="10"/>
  <c r="BB36" i="10"/>
  <c r="DN23" i="10"/>
  <c r="DN12" i="10" s="1"/>
  <c r="DQ78" i="10"/>
  <c r="DQ80" i="10"/>
  <c r="BK16" i="10"/>
  <c r="BH17" i="10"/>
  <c r="BF59" i="10"/>
  <c r="BF91" i="10" s="1"/>
  <c r="BF95" i="10" s="1"/>
  <c r="BM61" i="10"/>
  <c r="BJ59" i="10"/>
  <c r="BJ58" i="10"/>
  <c r="DH91" i="10"/>
  <c r="DH62" i="10"/>
  <c r="DH65" i="10"/>
  <c r="DH75" i="10"/>
  <c r="DH76" i="10" s="1"/>
  <c r="AV56" i="10"/>
  <c r="AV58" i="10" s="1"/>
  <c r="AV11" i="10"/>
  <c r="BN45" i="10"/>
  <c r="BK46" i="10"/>
  <c r="BE92" i="10"/>
  <c r="BE96" i="10" s="1"/>
  <c r="DE64" i="10"/>
  <c r="DE66" i="10"/>
  <c r="DE63" i="10"/>
  <c r="AJ76" i="10"/>
  <c r="BK25" i="10"/>
  <c r="BH24" i="10"/>
  <c r="DT55" i="10"/>
  <c r="DQ50" i="10"/>
  <c r="DQ28" i="10" s="1"/>
  <c r="DQ27" i="10" s="1"/>
  <c r="DQ23" i="10" s="1"/>
  <c r="BE74" i="10"/>
  <c r="DW16" i="10"/>
  <c r="DZ16" i="10" s="1"/>
  <c r="EC16" i="10" s="1"/>
  <c r="DT17" i="10"/>
  <c r="BD66" i="10"/>
  <c r="DI64" i="10"/>
  <c r="DG93" i="10"/>
  <c r="AR97" i="10" s="1"/>
  <c r="AP100" i="10" s="1"/>
  <c r="BB61" i="10"/>
  <c r="AY93" i="10"/>
  <c r="AY59" i="10"/>
  <c r="DQ42" i="10"/>
  <c r="DT44" i="10"/>
  <c r="DE93" i="10"/>
  <c r="AP97" i="10" s="1"/>
  <c r="DT41" i="10"/>
  <c r="DQ40" i="10"/>
  <c r="AY23" i="10"/>
  <c r="AY12" i="10" s="1"/>
  <c r="AO58" i="10"/>
  <c r="W24" i="12"/>
  <c r="X25" i="12"/>
  <c r="AS91" i="10"/>
  <c r="AS95" i="10" s="1"/>
  <c r="AS62" i="10"/>
  <c r="AS65" i="10"/>
  <c r="AS75" i="10"/>
  <c r="AP66" i="10"/>
  <c r="AP63" i="10"/>
  <c r="AP64" i="10"/>
  <c r="BT24" i="10"/>
  <c r="AM93" i="10"/>
  <c r="AM97" i="10" s="1"/>
  <c r="BE55" i="10"/>
  <c r="BB50" i="10"/>
  <c r="BB28" i="10" s="1"/>
  <c r="BB27" i="10" s="1"/>
  <c r="BB23" i="10" s="1"/>
  <c r="AR63" i="10"/>
  <c r="AQ58" i="10"/>
  <c r="AP95" i="10"/>
  <c r="AY56" i="10" l="1"/>
  <c r="AY58" i="10"/>
  <c r="AY11" i="10"/>
  <c r="DN56" i="10"/>
  <c r="DN58" i="10" s="1"/>
  <c r="AV91" i="10"/>
  <c r="AV62" i="10"/>
  <c r="AV65" i="10"/>
  <c r="AV75" i="10"/>
  <c r="AS66" i="10"/>
  <c r="AS63" i="10"/>
  <c r="AS64" i="10"/>
  <c r="DW41" i="10"/>
  <c r="DT40" i="10"/>
  <c r="BN16" i="10"/>
  <c r="BK17" i="10"/>
  <c r="DQ12" i="10"/>
  <c r="BH41" i="10"/>
  <c r="BE40" i="10"/>
  <c r="DI93" i="10"/>
  <c r="AT97" i="10" s="1"/>
  <c r="DJ64" i="10"/>
  <c r="DW55" i="10"/>
  <c r="DT50" i="10"/>
  <c r="DT28" i="10" s="1"/>
  <c r="DT27" i="10" s="1"/>
  <c r="DH66" i="10"/>
  <c r="DH64" i="10"/>
  <c r="DH63" i="10"/>
  <c r="DW46" i="10"/>
  <c r="DZ45" i="10"/>
  <c r="DW15" i="10"/>
  <c r="DT14" i="10"/>
  <c r="DT13" i="10" s="1"/>
  <c r="DW37" i="10"/>
  <c r="DT36" i="10"/>
  <c r="BB12" i="10"/>
  <c r="BE98" i="10"/>
  <c r="X24" i="12"/>
  <c r="Y25" i="12"/>
  <c r="Y24" i="12" s="1"/>
  <c r="DT42" i="10"/>
  <c r="DW44" i="10"/>
  <c r="BK107" i="10"/>
  <c r="BK80" i="10"/>
  <c r="BK78" i="10"/>
  <c r="DT78" i="10"/>
  <c r="DT80" i="10"/>
  <c r="BL61" i="10"/>
  <c r="BH15" i="10"/>
  <c r="BE14" i="10"/>
  <c r="BE13" i="10" s="1"/>
  <c r="BQ45" i="10"/>
  <c r="BN46" i="10"/>
  <c r="DA91" i="10"/>
  <c r="AL95" i="10" s="1"/>
  <c r="AJ98" i="10" s="1"/>
  <c r="CY74" i="10"/>
  <c r="DA62" i="10"/>
  <c r="DA66" i="10" s="1"/>
  <c r="AO91" i="10"/>
  <c r="AO62" i="10"/>
  <c r="AO66" i="10" s="1"/>
  <c r="AM74" i="10"/>
  <c r="AM75" i="10" s="1"/>
  <c r="BF62" i="10"/>
  <c r="BP61" i="10"/>
  <c r="BM59" i="10"/>
  <c r="BM58" i="10"/>
  <c r="BL59" i="10"/>
  <c r="BO60" i="10"/>
  <c r="BL58" i="10"/>
  <c r="BK92" i="10"/>
  <c r="BK96" i="10" s="1"/>
  <c r="CY92" i="10"/>
  <c r="AJ96" i="10" s="1"/>
  <c r="AL96" i="10"/>
  <c r="AJ99" i="10" s="1"/>
  <c r="BN25" i="10"/>
  <c r="BK24" i="10"/>
  <c r="AR92" i="10"/>
  <c r="AR58" i="10"/>
  <c r="AP74" i="10" s="1"/>
  <c r="AP75" i="10" s="1"/>
  <c r="EF16" i="10"/>
  <c r="BT16" i="10" s="1"/>
  <c r="EC17" i="10"/>
  <c r="BT17" i="10" s="1"/>
  <c r="DK91" i="10"/>
  <c r="DK62" i="10"/>
  <c r="DK65" i="10"/>
  <c r="DK75" i="10"/>
  <c r="DK76" i="10" s="1"/>
  <c r="AS83" i="10"/>
  <c r="AS84" i="10" s="1"/>
  <c r="AS76" i="10"/>
  <c r="BH37" i="10"/>
  <c r="BE36" i="10"/>
  <c r="BE23" i="10" s="1"/>
  <c r="BH44" i="10"/>
  <c r="BE42" i="10"/>
  <c r="AQ91" i="10"/>
  <c r="AQ62" i="10"/>
  <c r="BJ91" i="10"/>
  <c r="BJ95" i="10" s="1"/>
  <c r="BH98" i="10" s="1"/>
  <c r="BJ62" i="10"/>
  <c r="BJ66" i="10" s="1"/>
  <c r="BI91" i="10"/>
  <c r="BI95" i="10" s="1"/>
  <c r="BH74" i="10"/>
  <c r="BI62" i="10"/>
  <c r="DD63" i="10"/>
  <c r="DC92" i="10"/>
  <c r="BH55" i="10"/>
  <c r="BE50" i="10"/>
  <c r="BE61" i="10"/>
  <c r="BB59" i="10"/>
  <c r="BB93" i="10"/>
  <c r="BG66" i="10"/>
  <c r="BK60" i="10"/>
  <c r="AP76" i="10" l="1"/>
  <c r="DN91" i="10"/>
  <c r="DN62" i="10"/>
  <c r="DN65" i="10"/>
  <c r="BQ16" i="10"/>
  <c r="E16" i="10" s="1"/>
  <c r="D16" i="10" s="1"/>
  <c r="BN17" i="10"/>
  <c r="E17" i="10" s="1"/>
  <c r="D17" i="10" s="1"/>
  <c r="BS61" i="10"/>
  <c r="BS59" i="10" s="1"/>
  <c r="BP59" i="10"/>
  <c r="BP58" i="10"/>
  <c r="DZ15" i="10"/>
  <c r="DW14" i="10"/>
  <c r="DW13" i="10" s="1"/>
  <c r="DJ93" i="10"/>
  <c r="AU97" i="10" s="1"/>
  <c r="AS100" i="10" s="1"/>
  <c r="DL64" i="10"/>
  <c r="AV95" i="10"/>
  <c r="BK44" i="10"/>
  <c r="BH42" i="10"/>
  <c r="DZ55" i="10"/>
  <c r="DW50" i="10"/>
  <c r="DW28" i="10" s="1"/>
  <c r="DW27" i="10" s="1"/>
  <c r="AV64" i="10"/>
  <c r="AV63" i="10"/>
  <c r="AV66" i="10"/>
  <c r="BH61" i="10"/>
  <c r="BE93" i="10"/>
  <c r="BE59" i="10"/>
  <c r="BK37" i="10"/>
  <c r="BH36" i="10"/>
  <c r="BN107" i="10"/>
  <c r="BN80" i="10"/>
  <c r="BN78" i="10"/>
  <c r="DZ46" i="10"/>
  <c r="EC45" i="10"/>
  <c r="DH93" i="10"/>
  <c r="AS97" i="10" s="1"/>
  <c r="DZ41" i="10"/>
  <c r="DW40" i="10"/>
  <c r="DN11" i="10"/>
  <c r="CY75" i="10"/>
  <c r="DW80" i="10"/>
  <c r="DW78" i="10"/>
  <c r="BL91" i="10"/>
  <c r="BL95" i="10" s="1"/>
  <c r="BK74" i="10"/>
  <c r="BL62" i="10"/>
  <c r="AM76" i="10"/>
  <c r="BE12" i="10"/>
  <c r="BQ46" i="10"/>
  <c r="E45" i="10"/>
  <c r="BK55" i="10"/>
  <c r="BH50" i="10"/>
  <c r="BH28" i="10" s="1"/>
  <c r="BH27" i="10" s="1"/>
  <c r="BH23" i="10" s="1"/>
  <c r="AN96" i="10"/>
  <c r="AP92" i="10"/>
  <c r="BR60" i="10"/>
  <c r="BN92" i="10"/>
  <c r="BN96" i="10" s="1"/>
  <c r="BK15" i="10"/>
  <c r="BH14" i="10"/>
  <c r="BH13" i="10" s="1"/>
  <c r="BB56" i="10"/>
  <c r="BB11" i="10" s="1"/>
  <c r="BB58" i="10"/>
  <c r="BK41" i="10"/>
  <c r="BH40" i="10"/>
  <c r="DK66" i="10"/>
  <c r="DK64" i="10"/>
  <c r="DK63" i="10"/>
  <c r="DF63" i="10"/>
  <c r="DD92" i="10"/>
  <c r="AO96" i="10" s="1"/>
  <c r="AM99" i="10" s="1"/>
  <c r="DD58" i="10"/>
  <c r="DZ44" i="10"/>
  <c r="DW42" i="10"/>
  <c r="DQ56" i="10"/>
  <c r="DQ58" i="10"/>
  <c r="DQ11" i="10"/>
  <c r="AV83" i="10"/>
  <c r="AV84" i="10" s="1"/>
  <c r="AV76" i="10"/>
  <c r="AY91" i="10"/>
  <c r="AY95" i="10" s="1"/>
  <c r="AY62" i="10"/>
  <c r="AY65" i="10"/>
  <c r="AY75" i="10"/>
  <c r="AR91" i="10"/>
  <c r="AR95" i="10" s="1"/>
  <c r="AR62" i="10"/>
  <c r="AR66" i="10" s="1"/>
  <c r="BN60" i="10"/>
  <c r="BQ25" i="10"/>
  <c r="BN24" i="10"/>
  <c r="BM91" i="10"/>
  <c r="BM95" i="10" s="1"/>
  <c r="BK98" i="10" s="1"/>
  <c r="BM62" i="10"/>
  <c r="BM66" i="10" s="1"/>
  <c r="BO61" i="10"/>
  <c r="BO59" i="10" s="1"/>
  <c r="DW36" i="10"/>
  <c r="DZ37" i="10"/>
  <c r="DT23" i="10"/>
  <c r="DT12" i="10" s="1"/>
  <c r="DT56" i="10" l="1"/>
  <c r="DT58" i="10"/>
  <c r="DT11" i="10"/>
  <c r="BO91" i="10"/>
  <c r="BO95" i="10" s="1"/>
  <c r="BO62" i="10"/>
  <c r="BB91" i="10"/>
  <c r="BB95" i="10" s="1"/>
  <c r="BB65" i="10"/>
  <c r="BB62" i="10"/>
  <c r="BB75" i="10"/>
  <c r="DQ91" i="10"/>
  <c r="DQ62" i="10"/>
  <c r="DQ65" i="10"/>
  <c r="DG63" i="10"/>
  <c r="DG92" i="10" s="1"/>
  <c r="DF58" i="10"/>
  <c r="DB92" i="10"/>
  <c r="AM96" i="10" s="1"/>
  <c r="CY76" i="10"/>
  <c r="AJ83" i="10"/>
  <c r="AJ84" i="10" s="1"/>
  <c r="DM64" i="10"/>
  <c r="DL93" i="10"/>
  <c r="AW97" i="10" s="1"/>
  <c r="DK93" i="10"/>
  <c r="AV97" i="10" s="1"/>
  <c r="DZ80" i="10"/>
  <c r="DZ78" i="10"/>
  <c r="AY76" i="10"/>
  <c r="BH12" i="10"/>
  <c r="BE56" i="10"/>
  <c r="BE58" i="10" s="1"/>
  <c r="BE11" i="10"/>
  <c r="BQ24" i="10"/>
  <c r="E25" i="10"/>
  <c r="BN55" i="10"/>
  <c r="BK50" i="10"/>
  <c r="DW23" i="10"/>
  <c r="DZ14" i="10"/>
  <c r="DZ13" i="10" s="1"/>
  <c r="EC15" i="10"/>
  <c r="DN64" i="10"/>
  <c r="DN66" i="10"/>
  <c r="DN63" i="10"/>
  <c r="DZ36" i="10"/>
  <c r="EC37" i="10"/>
  <c r="DZ40" i="10"/>
  <c r="EC41" i="10"/>
  <c r="BK36" i="10"/>
  <c r="BN37" i="10"/>
  <c r="EC55" i="10"/>
  <c r="DZ50" i="10"/>
  <c r="DZ28" i="10" s="1"/>
  <c r="DZ27" i="10" s="1"/>
  <c r="BP91" i="10"/>
  <c r="BP95" i="10" s="1"/>
  <c r="BP62" i="10"/>
  <c r="BN74" i="10"/>
  <c r="BN15" i="10"/>
  <c r="BK14" i="10"/>
  <c r="BK13" i="10" s="1"/>
  <c r="BK40" i="10"/>
  <c r="BN41" i="10"/>
  <c r="BR58" i="10"/>
  <c r="BQ107" i="10"/>
  <c r="BQ78" i="10"/>
  <c r="BQ80" i="10"/>
  <c r="E46" i="10"/>
  <c r="BK61" i="10"/>
  <c r="BH93" i="10"/>
  <c r="BH97" i="10" s="1"/>
  <c r="BH59" i="10"/>
  <c r="DW12" i="10"/>
  <c r="AY66" i="10"/>
  <c r="AY64" i="10"/>
  <c r="AY63" i="10"/>
  <c r="EC44" i="10"/>
  <c r="DZ42" i="10"/>
  <c r="BR61" i="10"/>
  <c r="BQ60" i="10"/>
  <c r="BQ92" i="10" s="1"/>
  <c r="BQ96" i="10" s="1"/>
  <c r="DD91" i="10"/>
  <c r="AO95" i="10" s="1"/>
  <c r="AM98" i="10" s="1"/>
  <c r="DB74" i="10"/>
  <c r="DD62" i="10"/>
  <c r="DD66" i="10" s="1"/>
  <c r="EF45" i="10"/>
  <c r="EC46" i="10"/>
  <c r="BN44" i="10"/>
  <c r="BK42" i="10"/>
  <c r="BS91" i="10"/>
  <c r="BS95" i="10" s="1"/>
  <c r="BS62" i="10"/>
  <c r="BE91" i="10" l="1"/>
  <c r="BE62" i="10"/>
  <c r="BE65" i="10"/>
  <c r="BE75" i="10"/>
  <c r="BB64" i="10"/>
  <c r="BB66" i="10"/>
  <c r="BB63" i="10"/>
  <c r="BQ98" i="10"/>
  <c r="DB75" i="10"/>
  <c r="BQ37" i="10"/>
  <c r="BN36" i="10"/>
  <c r="BQ55" i="10"/>
  <c r="BN50" i="10"/>
  <c r="BN28" i="10" s="1"/>
  <c r="BN27" i="10" s="1"/>
  <c r="E78" i="10"/>
  <c r="E80" i="10"/>
  <c r="BQ15" i="10"/>
  <c r="BN14" i="10"/>
  <c r="BN13" i="10" s="1"/>
  <c r="BK23" i="10"/>
  <c r="BK12" i="10" s="1"/>
  <c r="D25" i="10"/>
  <c r="D24" i="10" s="1"/>
  <c r="E24" i="10"/>
  <c r="DF91" i="10"/>
  <c r="AQ95" i="10" s="1"/>
  <c r="AP98" i="10" s="1"/>
  <c r="DE74" i="10"/>
  <c r="DE75" i="10" s="1"/>
  <c r="DF62" i="10"/>
  <c r="DG66" i="10" s="1"/>
  <c r="DW56" i="10"/>
  <c r="DW11" i="10" s="1"/>
  <c r="DW58" i="10"/>
  <c r="EC78" i="10"/>
  <c r="EC80" i="10"/>
  <c r="BP66" i="10"/>
  <c r="DQ66" i="10"/>
  <c r="DQ64" i="10"/>
  <c r="DQ63" i="10"/>
  <c r="EF44" i="10"/>
  <c r="EC42" i="10"/>
  <c r="BQ44" i="10"/>
  <c r="BN42" i="10"/>
  <c r="EC40" i="10"/>
  <c r="EF41" i="10"/>
  <c r="BN98" i="10"/>
  <c r="EC36" i="10"/>
  <c r="EF37" i="10"/>
  <c r="DO64" i="10"/>
  <c r="DM93" i="10"/>
  <c r="AX97" i="10" s="1"/>
  <c r="AV100" i="10" s="1"/>
  <c r="DT91" i="10"/>
  <c r="DT75" i="10"/>
  <c r="DT76" i="10" s="1"/>
  <c r="DT65" i="10"/>
  <c r="DT62" i="10"/>
  <c r="BS66" i="10"/>
  <c r="EF55" i="10"/>
  <c r="EC50" i="10"/>
  <c r="EC28" i="10" s="1"/>
  <c r="EC27" i="10" s="1"/>
  <c r="DE92" i="10"/>
  <c r="AP96" i="10" s="1"/>
  <c r="AR96" i="10"/>
  <c r="AP99" i="10" s="1"/>
  <c r="BR91" i="10"/>
  <c r="BR95" i="10" s="1"/>
  <c r="BQ74" i="10"/>
  <c r="BR62" i="10"/>
  <c r="EF15" i="10"/>
  <c r="EC14" i="10"/>
  <c r="EC13" i="10" s="1"/>
  <c r="EF46" i="10"/>
  <c r="BT45" i="10"/>
  <c r="D45" i="10" s="1"/>
  <c r="BR59" i="10"/>
  <c r="BN61" i="10"/>
  <c r="BK59" i="10"/>
  <c r="BK93" i="10"/>
  <c r="BK97" i="10" s="1"/>
  <c r="BQ41" i="10"/>
  <c r="BN40" i="10"/>
  <c r="DZ23" i="10"/>
  <c r="DZ12" i="10" s="1"/>
  <c r="BH56" i="10"/>
  <c r="BH58" i="10"/>
  <c r="BH11" i="10"/>
  <c r="BB76" i="10"/>
  <c r="BK56" i="10" l="1"/>
  <c r="BK58" i="10" s="1"/>
  <c r="BK11" i="10"/>
  <c r="DZ56" i="10"/>
  <c r="DZ58" i="10" s="1"/>
  <c r="BN23" i="10"/>
  <c r="BN12" i="10" s="1"/>
  <c r="DT66" i="10"/>
  <c r="DT63" i="10"/>
  <c r="DT64" i="10"/>
  <c r="EF42" i="10"/>
  <c r="BT44" i="10"/>
  <c r="BT42" i="10" s="1"/>
  <c r="E74" i="10"/>
  <c r="BQ50" i="10"/>
  <c r="BQ28" i="10" s="1"/>
  <c r="E55" i="10"/>
  <c r="EF14" i="10"/>
  <c r="EF13" i="10" s="1"/>
  <c r="BT15" i="10"/>
  <c r="BT14" i="10" s="1"/>
  <c r="BT13" i="10" s="1"/>
  <c r="BQ61" i="10"/>
  <c r="BN93" i="10"/>
  <c r="BN97" i="10" s="1"/>
  <c r="BN59" i="10"/>
  <c r="EF40" i="10"/>
  <c r="BT41" i="10"/>
  <c r="BT40" i="10" s="1"/>
  <c r="BQ36" i="10"/>
  <c r="E37" i="10"/>
  <c r="BE83" i="10"/>
  <c r="BE76" i="10"/>
  <c r="BQ40" i="10"/>
  <c r="E41" i="10"/>
  <c r="DW91" i="10"/>
  <c r="DW62" i="10"/>
  <c r="DW65" i="10"/>
  <c r="DW75" i="10"/>
  <c r="DW76" i="10" s="1"/>
  <c r="BQ14" i="10"/>
  <c r="BQ13" i="10" s="1"/>
  <c r="E15" i="10"/>
  <c r="BH91" i="10"/>
  <c r="BH95" i="10" s="1"/>
  <c r="BH65" i="10"/>
  <c r="BH62" i="10"/>
  <c r="BH75" i="10"/>
  <c r="EC23" i="10"/>
  <c r="BE64" i="10"/>
  <c r="BE66" i="10"/>
  <c r="BE63" i="10"/>
  <c r="EF78" i="10"/>
  <c r="EF80" i="10"/>
  <c r="BT46" i="10"/>
  <c r="DO93" i="10"/>
  <c r="AZ97" i="10" s="1"/>
  <c r="DP64" i="10"/>
  <c r="DN93" i="10"/>
  <c r="AY97" i="10" s="1"/>
  <c r="DO58" i="10"/>
  <c r="EC12" i="10"/>
  <c r="EF50" i="10"/>
  <c r="EF28" i="10" s="1"/>
  <c r="BT55" i="10"/>
  <c r="BT50" i="10" s="1"/>
  <c r="EF36" i="10"/>
  <c r="BT37" i="10"/>
  <c r="BT36" i="10" s="1"/>
  <c r="BQ42" i="10"/>
  <c r="E44" i="10"/>
  <c r="DE76" i="10"/>
  <c r="AP83" i="10"/>
  <c r="AP84" i="10" s="1"/>
  <c r="DB76" i="10"/>
  <c r="AM83" i="10"/>
  <c r="BE95" i="10"/>
  <c r="BN56" i="10" l="1"/>
  <c r="BN58" i="10" s="1"/>
  <c r="DZ91" i="10"/>
  <c r="DZ62" i="10"/>
  <c r="DZ65" i="10"/>
  <c r="DZ75" i="10"/>
  <c r="DZ76" i="10" s="1"/>
  <c r="BK91" i="10"/>
  <c r="BK95" i="10" s="1"/>
  <c r="BK65" i="10"/>
  <c r="BK62" i="10"/>
  <c r="BK75" i="10"/>
  <c r="E40" i="10"/>
  <c r="D41" i="10"/>
  <c r="D40" i="10" s="1"/>
  <c r="EF27" i="10"/>
  <c r="EF23" i="10" s="1"/>
  <c r="EF12" i="10" s="1"/>
  <c r="BT28" i="10"/>
  <c r="BT27" i="10" s="1"/>
  <c r="BT23" i="10" s="1"/>
  <c r="EC56" i="10"/>
  <c r="EC58" i="10" s="1"/>
  <c r="E14" i="10"/>
  <c r="E13" i="10" s="1"/>
  <c r="D15" i="10"/>
  <c r="D14" i="10" s="1"/>
  <c r="D13" i="10" s="1"/>
  <c r="DZ11" i="10"/>
  <c r="BT12" i="10"/>
  <c r="DO91" i="10"/>
  <c r="AZ95" i="10" s="1"/>
  <c r="DO62" i="10"/>
  <c r="E36" i="10"/>
  <c r="D37" i="10"/>
  <c r="D36" i="10" s="1"/>
  <c r="DR64" i="10"/>
  <c r="DP93" i="10"/>
  <c r="BA97" i="10" s="1"/>
  <c r="AY100" i="10" s="1"/>
  <c r="DP58" i="10"/>
  <c r="DN74" i="10" s="1"/>
  <c r="BH83" i="10"/>
  <c r="BH84" i="10" s="1"/>
  <c r="BH76" i="10"/>
  <c r="DW66" i="10"/>
  <c r="DW63" i="10"/>
  <c r="DW64" i="10"/>
  <c r="E50" i="10"/>
  <c r="D55" i="10"/>
  <c r="D50" i="10" s="1"/>
  <c r="BQ93" i="10"/>
  <c r="BQ97" i="10" s="1"/>
  <c r="BQ59" i="10"/>
  <c r="D44" i="10"/>
  <c r="D42" i="10" s="1"/>
  <c r="E42" i="10"/>
  <c r="BT107" i="10"/>
  <c r="EI46" i="10"/>
  <c r="BT78" i="10"/>
  <c r="BT80" i="10"/>
  <c r="D46" i="10"/>
  <c r="BH63" i="10"/>
  <c r="BH66" i="10"/>
  <c r="BH64" i="10"/>
  <c r="BQ27" i="10"/>
  <c r="BQ23" i="10" s="1"/>
  <c r="BQ12" i="10" s="1"/>
  <c r="E28" i="10"/>
  <c r="EC91" i="10" l="1"/>
  <c r="EC75" i="10"/>
  <c r="EC76" i="10" s="1"/>
  <c r="EC62" i="10"/>
  <c r="EC65" i="10"/>
  <c r="BQ58" i="10"/>
  <c r="BQ56" i="10"/>
  <c r="E56" i="10" s="1"/>
  <c r="D56" i="10" s="1"/>
  <c r="BQ11" i="10"/>
  <c r="EF58" i="10"/>
  <c r="EF56" i="10"/>
  <c r="BT56" i="10" s="1"/>
  <c r="EF11" i="10"/>
  <c r="DN75" i="10"/>
  <c r="BN91" i="10"/>
  <c r="BN95" i="10" s="1"/>
  <c r="BN62" i="10"/>
  <c r="BN65" i="10"/>
  <c r="BN75" i="10"/>
  <c r="DR93" i="10"/>
  <c r="BC97" i="10" s="1"/>
  <c r="DS64" i="10"/>
  <c r="DQ93" i="10" s="1"/>
  <c r="BB97" i="10" s="1"/>
  <c r="E27" i="10"/>
  <c r="E23" i="10" s="1"/>
  <c r="D28" i="10"/>
  <c r="D27" i="10" s="1"/>
  <c r="D23" i="10" s="1"/>
  <c r="D12" i="10" s="1"/>
  <c r="BT11" i="10"/>
  <c r="BT58" i="10"/>
  <c r="E12" i="10"/>
  <c r="EI78" i="10"/>
  <c r="EI80" i="10"/>
  <c r="DZ66" i="10"/>
  <c r="DZ64" i="10"/>
  <c r="DZ63" i="10"/>
  <c r="EC11" i="10"/>
  <c r="BK76" i="10"/>
  <c r="BK83" i="10"/>
  <c r="BN11" i="10"/>
  <c r="BK63" i="10"/>
  <c r="BK66" i="10"/>
  <c r="BK64" i="10"/>
  <c r="D78" i="10"/>
  <c r="D80" i="10"/>
  <c r="DP91" i="10"/>
  <c r="BA95" i="10" s="1"/>
  <c r="AY98" i="10" s="1"/>
  <c r="DP62" i="10"/>
  <c r="DP66" i="10" s="1"/>
  <c r="D58" i="10" l="1"/>
  <c r="D11" i="10"/>
  <c r="BN66" i="10"/>
  <c r="BN63" i="10"/>
  <c r="BN64" i="10"/>
  <c r="BQ91" i="10"/>
  <c r="BQ62" i="10"/>
  <c r="BQ65" i="10"/>
  <c r="BQ75" i="10"/>
  <c r="BN83" i="10"/>
  <c r="BN84" i="10" s="1"/>
  <c r="BN76" i="10"/>
  <c r="DN76" i="10"/>
  <c r="AY83" i="10"/>
  <c r="EC66" i="10"/>
  <c r="EC64" i="10"/>
  <c r="EC63" i="10"/>
  <c r="E11" i="10"/>
  <c r="E58" i="10"/>
  <c r="DS93" i="10"/>
  <c r="BD97" i="10" s="1"/>
  <c r="BB100" i="10" s="1"/>
  <c r="DU64" i="10"/>
  <c r="DS58" i="10"/>
  <c r="EF91" i="10"/>
  <c r="EF62" i="10"/>
  <c r="EF65" i="10"/>
  <c r="EF75" i="10"/>
  <c r="BQ66" i="10" l="1"/>
  <c r="BQ63" i="10"/>
  <c r="BQ64" i="10"/>
  <c r="BQ95" i="10"/>
  <c r="DS91" i="10"/>
  <c r="BD95" i="10" s="1"/>
  <c r="BB98" i="10" s="1"/>
  <c r="DQ74" i="10"/>
  <c r="DS62" i="10"/>
  <c r="DS66" i="10" s="1"/>
  <c r="DV64" i="10"/>
  <c r="DV93" i="10" s="1"/>
  <c r="BG97" i="10" s="1"/>
  <c r="BE100" i="10" s="1"/>
  <c r="DU93" i="10"/>
  <c r="BF97" i="10" s="1"/>
  <c r="EF66" i="10"/>
  <c r="EF64" i="10"/>
  <c r="EF63" i="10"/>
  <c r="AY84" i="10"/>
  <c r="EF76" i="10"/>
  <c r="BQ76" i="10"/>
  <c r="BQ83" i="10"/>
  <c r="BQ84" i="10" s="1"/>
  <c r="E75" i="10"/>
  <c r="DT93" i="10" l="1"/>
  <c r="BE97" i="10" s="1"/>
  <c r="DQ75" i="10"/>
  <c r="BT74" i="10"/>
  <c r="D74" i="10" s="1"/>
  <c r="DQ76" i="10" l="1"/>
  <c r="BB83" i="10"/>
  <c r="BT75" i="10"/>
  <c r="D75" i="10" s="1"/>
  <c r="BB84" i="10" l="1"/>
  <c r="D83" i="10"/>
</calcChain>
</file>

<file path=xl/comments1.xml><?xml version="1.0" encoding="utf-8"?>
<comments xmlns="http://schemas.openxmlformats.org/spreadsheetml/2006/main">
  <authors>
    <author>Александров Иван Владимирович</author>
  </authors>
  <commentList>
    <comment ref="J15" authorId="0">
      <text>
        <r>
          <rPr>
            <b/>
            <sz val="9"/>
            <rFont val="Tahoma"/>
            <family val="2"/>
            <charset val="204"/>
          </rPr>
          <t>Постоногова О.В:</t>
        </r>
        <r>
          <rPr>
            <sz val="9"/>
            <rFont val="Tahoma"/>
            <family val="2"/>
            <charset val="204"/>
          </rPr>
          <t xml:space="preserve">
было - 0,17</t>
        </r>
      </text>
    </comment>
    <comment ref="J16" authorId="0">
      <text>
        <r>
          <rPr>
            <b/>
            <sz val="9"/>
            <rFont val="Tahoma"/>
            <family val="2"/>
            <charset val="204"/>
          </rPr>
          <t>Постоногова О.В.
было - 31</t>
        </r>
      </text>
    </comment>
    <comment ref="J17" authorId="0">
      <text>
        <r>
          <rPr>
            <b/>
            <sz val="9"/>
            <rFont val="Tahoma"/>
            <family val="2"/>
            <charset val="204"/>
          </rPr>
          <t>Постоногова О.В.:</t>
        </r>
        <r>
          <rPr>
            <sz val="9"/>
            <rFont val="Tahoma"/>
            <family val="2"/>
            <charset val="204"/>
          </rPr>
          <t xml:space="preserve">
без изменений</t>
        </r>
      </text>
    </comment>
    <comment ref="J19" authorId="0">
      <text>
        <r>
          <rPr>
            <b/>
            <sz val="9"/>
            <rFont val="Tahoma"/>
            <family val="2"/>
            <charset val="204"/>
          </rPr>
          <t>Постоногова О.В.:
было - 14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  <charset val="204"/>
          </rPr>
          <t>Постоногова О.В:
было 5 120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J32" authorId="0">
      <text>
        <r>
          <rPr>
            <b/>
            <sz val="9"/>
            <rFont val="Tahoma"/>
            <family val="2"/>
            <charset val="204"/>
          </rPr>
          <t>Постногова О.В.:
было 12,25%, 9,8%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  <charset val="204"/>
          </rPr>
          <t>Постногова о.В.:</t>
        </r>
        <r>
          <rPr>
            <sz val="9"/>
            <rFont val="Tahoma"/>
            <family val="2"/>
            <charset val="204"/>
          </rPr>
          <t xml:space="preserve">
было - 305; 244</t>
        </r>
      </text>
    </comment>
    <comment ref="J34" authorId="0">
      <text>
        <r>
          <rPr>
            <b/>
            <sz val="9"/>
            <rFont val="Tahoma"/>
            <family val="2"/>
            <charset val="204"/>
          </rPr>
          <t>Постногова О.В.:</t>
        </r>
        <r>
          <rPr>
            <sz val="9"/>
            <rFont val="Tahoma"/>
            <family val="2"/>
            <charset val="204"/>
          </rPr>
          <t xml:space="preserve">
было 2 490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8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  <comment ref="K8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  <comment ref="O8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  <comment ref="S8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O6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  <comment ref="S6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  <comment ref="W6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  <comment ref="AA6" authorId="0">
      <text>
        <r>
          <rPr>
            <b/>
            <sz val="9"/>
            <rFont val="Tahoma"/>
            <family val="2"/>
            <charset val="204"/>
          </rPr>
          <t>Високосный год</t>
        </r>
      </text>
    </comment>
  </commentList>
</comments>
</file>

<file path=xl/sharedStrings.xml><?xml version="1.0" encoding="utf-8"?>
<sst xmlns="http://schemas.openxmlformats.org/spreadsheetml/2006/main" count="6124" uniqueCount="727">
  <si>
    <t>Минимально допустимые плановые значения показателей деятельности Концессионера, в том числе значений показателей надежности, качества, энергетической эффективности объектов концессионного соглашения 2017-2040 г.г.</t>
  </si>
  <si>
    <t>№ п/п</t>
  </si>
  <si>
    <t>Наименование показателей</t>
  </si>
  <si>
    <t>Ед.изм.</t>
  </si>
  <si>
    <t>Вид деятельности</t>
  </si>
  <si>
    <t>Показатель ДПР</t>
  </si>
  <si>
    <t>Годы (2017-2040)</t>
  </si>
  <si>
    <t>факт</t>
  </si>
  <si>
    <t>план</t>
  </si>
  <si>
    <t>Показатели качества и надежности</t>
  </si>
  <si>
    <t>ВС/ВО</t>
  </si>
  <si>
    <t>1.</t>
  </si>
  <si>
    <t>Показатели качества воды</t>
  </si>
  <si>
    <t>ВС</t>
  </si>
  <si>
    <t>1.1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</si>
  <si>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</si>
  <si>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</si>
  <si>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 1.1.1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</si>
  <si>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</si>
  <si>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</si>
  <si>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 1.1.2</t>
  </si>
  <si>
    <t>общее количество отобранных проб</t>
  </si>
  <si>
    <t>1.2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</si>
  <si>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</si>
  <si>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1.2.1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</si>
  <si>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</si>
  <si>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1.2.2</t>
  </si>
  <si>
    <t>2.</t>
  </si>
  <si>
    <t>Показатели надежности и бесперебойности водоснабжения</t>
  </si>
  <si>
    <t>х</t>
  </si>
  <si>
    <t>2.1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</si>
  <si>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 (ед/км)</t>
  </si>
  <si>
    <t>ед/км</t>
  </si>
  <si>
    <t> 2.1.1</t>
  </si>
  <si>
    <t>количество аварий на системах коммунальной инфраструктуры</t>
  </si>
  <si>
    <t> 2.1.2</t>
  </si>
  <si>
    <t>протяженность водопроводной сети</t>
  </si>
  <si>
    <t>км</t>
  </si>
  <si>
    <t>3.</t>
  </si>
  <si>
    <t>Показатели качества очистки сточных вод</t>
  </si>
  <si>
    <t>ВО</t>
  </si>
  <si>
    <t>3.1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</si>
  <si>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 (%)</t>
  </si>
  <si>
    <t> 3.1.1</t>
  </si>
  <si>
    <t>объем сточных вод, не подвергшихся очистке</t>
  </si>
  <si>
    <t>тыс. м³</t>
  </si>
  <si>
    <t> 3.1.2</t>
  </si>
  <si>
    <t>общий объем сточных вод, сбрасываемых в централизованные общесплавные или бытовые системы водоотведения, в том числе:</t>
  </si>
  <si>
    <t>3.2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</si>
  <si>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 (%)</t>
  </si>
  <si>
    <t> 3.2.1</t>
  </si>
  <si>
    <t>объем поверхностных сточных вод, не подвергшихся очистке</t>
  </si>
  <si>
    <t> 3.2.2</t>
  </si>
  <si>
    <t>общий объем поверхностных сточных вод, принимаемых в централизованную ливневую систему водоотведения</t>
  </si>
  <si>
    <t>3.3</t>
  </si>
  <si>
    <t>доля проб сточных вод, не соответствующих установленным нормативам допустимых сбросов, лимитами на сбросы, рассчитанная применительно к централизованной общесплавной (бытовой) системе водоотведения, %</t>
  </si>
  <si>
    <t> 3.3.1</t>
  </si>
  <si>
    <t>количество проб сточных вод, не соответствующих установленным нормативам допустимых сбросов, лимитам на сбросы</t>
  </si>
  <si>
    <t> 3.3.2</t>
  </si>
  <si>
    <t>общее количество проб сточных вод</t>
  </si>
  <si>
    <t>3.4</t>
  </si>
  <si>
    <t>доля проб сточных вод, не соответствующих установленным нормативам допустимых сбросов, лимитами на сбросы, рассчитанная применительно к централизованной ливневой системе водоотведения, %</t>
  </si>
  <si>
    <t> 3.4.1</t>
  </si>
  <si>
    <t> 3.4.2</t>
  </si>
  <si>
    <t>4.</t>
  </si>
  <si>
    <t>Показатели надежности и бесперебойности водоотведения</t>
  </si>
  <si>
    <t>4.1</t>
  </si>
  <si>
    <t>удельное количество аварий  в расчете на протяженность канализационной сети в год</t>
  </si>
  <si>
    <t>ед./км</t>
  </si>
  <si>
    <t>4.1.1</t>
  </si>
  <si>
    <t>4.1.2</t>
  </si>
  <si>
    <t>протяженность канализационных сетей</t>
  </si>
  <si>
    <t>Показатели эффективности использования ресурсов, в том числе уровень потерь воды</t>
  </si>
  <si>
    <t xml:space="preserve">
</t>
  </si>
  <si>
    <t>5.</t>
  </si>
  <si>
    <t>ДПР</t>
  </si>
  <si>
    <t>5.1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</si>
  <si>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</si>
  <si>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5.1.1</t>
  </si>
  <si>
    <t>объем потерь воды в централизованных системах водоснабжения при ее транспортировке</t>
  </si>
  <si>
    <t>5.1.2</t>
  </si>
  <si>
    <t>общий объем воды, поданной в водопроводную сеть</t>
  </si>
  <si>
    <t>5.2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</si>
  <si>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кВтч/м3</t>
  </si>
  <si>
    <t>кВтч/м3</t>
  </si>
  <si>
    <t>5.2.1</t>
  </si>
  <si>
    <t>общее количество электрической энергии, потребляемой в соответствующем технологическом процессе</t>
  </si>
  <si>
    <t>тыс. кВт*ч</t>
  </si>
  <si>
    <t>5.2.2</t>
  </si>
  <si>
    <t>общий объем питьевой воды, в отношении которой осуществляется водоподготовка</t>
  </si>
  <si>
    <t>5.3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</si>
  <si>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кВтч/м3</t>
  </si>
  <si>
    <t>5.3.1</t>
  </si>
  <si>
    <t>5.3.2</t>
  </si>
  <si>
    <t>общий объем транспортируемой питьевой воды</t>
  </si>
  <si>
    <t>5.4</t>
  </si>
  <si>
    <t>удельный расход электрической энергии, потребляемой в технологических процессах подготовки питьевой воды и транспортировки питьевой воды, на единицу объема воды, отпускаемой в сеть, кВтч/м3</t>
  </si>
  <si>
    <t>5.4.1</t>
  </si>
  <si>
    <t>5.4.2</t>
  </si>
  <si>
    <t>общий объем воды, отпускаемой в сеть</t>
  </si>
  <si>
    <t>5.5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</si>
  <si>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</si>
  <si>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5.5.1</t>
  </si>
  <si>
    <t>5.5.2</t>
  </si>
  <si>
    <t>общий объем сточных вод, подвергающихся очистке</t>
  </si>
  <si>
    <t>5.6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</si>
  <si>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</si>
  <si>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5.6.1</t>
  </si>
  <si>
    <t>5.6.2</t>
  </si>
  <si>
    <t>общий объем транспортируемых сточных вод</t>
  </si>
  <si>
    <t>Плановые технико-экономических показателей деятельности Концессионера за 2017-2040 год</t>
  </si>
  <si>
    <t>1</t>
  </si>
  <si>
    <t>Показатели деятельности компании</t>
  </si>
  <si>
    <t>Выручка</t>
  </si>
  <si>
    <t>тыс.руб.</t>
  </si>
  <si>
    <t>водоснабжение</t>
  </si>
  <si>
    <t>водоотведение</t>
  </si>
  <si>
    <t>2</t>
  </si>
  <si>
    <t xml:space="preserve">Разница между объемом отпуска в сеть в куб.м и объемом реализованной воды в куб.м </t>
  </si>
  <si>
    <t>тыс. куб.м</t>
  </si>
  <si>
    <t>объем отпуска воды в сеть</t>
  </si>
  <si>
    <t>2.2</t>
  </si>
  <si>
    <t>объем реализованной воды</t>
  </si>
  <si>
    <t>2.3</t>
  </si>
  <si>
    <t xml:space="preserve">то же в % к отпуску </t>
  </si>
  <si>
    <t>3</t>
  </si>
  <si>
    <t>Эффективность использования персонала</t>
  </si>
  <si>
    <t>чел./км</t>
  </si>
  <si>
    <t>Среднесписочная численность ОПП</t>
  </si>
  <si>
    <t>чел.</t>
  </si>
  <si>
    <t>3.3.1</t>
  </si>
  <si>
    <t>3.3.2</t>
  </si>
  <si>
    <t>Протяженность сетей (всех видов в однотрубном представлении)</t>
  </si>
  <si>
    <t>км.</t>
  </si>
  <si>
    <t>3.4.1</t>
  </si>
  <si>
    <t>3.4.2</t>
  </si>
  <si>
    <t>4</t>
  </si>
  <si>
    <t>Производительность труда</t>
  </si>
  <si>
    <t>тыс.м3/чел.</t>
  </si>
  <si>
    <t>4.2</t>
  </si>
  <si>
    <t>4.3</t>
  </si>
  <si>
    <t>4.3.1</t>
  </si>
  <si>
    <t>4.3.2</t>
  </si>
  <si>
    <t>4.4</t>
  </si>
  <si>
    <t>Поднято воды</t>
  </si>
  <si>
    <r>
      <rPr>
        <sz val="11"/>
        <color rgb="FF000000"/>
        <rFont val="Times New Roman"/>
        <family val="1"/>
        <charset val="204"/>
      </rPr>
      <t>тыс. 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</si>
  <si>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4.5</t>
  </si>
  <si>
    <t>Объем отведенных стоков, пропущенный через очистные сооружения</t>
  </si>
  <si>
    <t>Численность всего, в т.ч. (чел.)</t>
  </si>
  <si>
    <t>рабочие</t>
  </si>
  <si>
    <t xml:space="preserve">ремонтный персонал </t>
  </si>
  <si>
    <t>цеховый персонал (ИТР)</t>
  </si>
  <si>
    <t xml:space="preserve">административно-управленческий персонал </t>
  </si>
  <si>
    <t>6</t>
  </si>
  <si>
    <t>Поднято воды всего, в т.ч.:</t>
  </si>
  <si>
    <r>
      <rPr>
        <b/>
        <sz val="11"/>
        <color rgb="FF000000"/>
        <rFont val="Times New Roman"/>
        <family val="1"/>
        <charset val="204"/>
      </rPr>
      <t>тыс. м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</si>
  <si>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t>6.1</t>
  </si>
  <si>
    <t>Объем отпуска питьевой воды в сеть</t>
  </si>
  <si>
    <t>тыс.м3</t>
  </si>
  <si>
    <t>6.2</t>
  </si>
  <si>
    <t>Объем реализации питьевой воды</t>
  </si>
  <si>
    <t>7</t>
  </si>
  <si>
    <t>7.1</t>
  </si>
  <si>
    <t>Объем сточных вод, пропущенный через очистные сооружения</t>
  </si>
  <si>
    <t>8</t>
  </si>
  <si>
    <t>Уровень потерь воды</t>
  </si>
  <si>
    <t>8.1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</si>
  <si>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</si>
  <si>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8.2</t>
  </si>
  <si>
    <t>Потери и неучтенный расход в общем объеме воды, поданной в водопроводную сеть</t>
  </si>
  <si>
    <t>9</t>
  </si>
  <si>
    <t>Объем незавершенных капитальных вложений, тыс.руб.</t>
  </si>
  <si>
    <t>9.1</t>
  </si>
  <si>
    <t>9.2</t>
  </si>
  <si>
    <t>Показатели качества услуг</t>
  </si>
  <si>
    <t>10</t>
  </si>
  <si>
    <t>Процентное отношение нормативных проб к фактическому количеству произведенных анализов проб в распределительной сети (питьевая вода) (%)</t>
  </si>
  <si>
    <t>10.1</t>
  </si>
  <si>
    <t>По микробиологическим показателям</t>
  </si>
  <si>
    <t>10.2</t>
  </si>
  <si>
    <t>По обобщенным показателям и содержанию вредных химических веществ</t>
  </si>
  <si>
    <t>10.2.1</t>
  </si>
  <si>
    <t>Цветность</t>
  </si>
  <si>
    <t>град.</t>
  </si>
  <si>
    <t>&lt; 20</t>
  </si>
  <si>
    <t>10.2.2</t>
  </si>
  <si>
    <t>Мутность</t>
  </si>
  <si>
    <t>ЕМФ</t>
  </si>
  <si>
    <t>&lt; 2,6</t>
  </si>
  <si>
    <t>&lt; 1,0</t>
  </si>
  <si>
    <t>10.2.3</t>
  </si>
  <si>
    <t>Запах</t>
  </si>
  <si>
    <t>балл</t>
  </si>
  <si>
    <t>&lt;= 2</t>
  </si>
  <si>
    <t>10.2.4</t>
  </si>
  <si>
    <t>Жесткость</t>
  </si>
  <si>
    <t>Ж</t>
  </si>
  <si>
    <t>&lt;= 7</t>
  </si>
  <si>
    <t>10.2.5</t>
  </si>
  <si>
    <t>Хлориды</t>
  </si>
  <si>
    <t>мг/дм3</t>
  </si>
  <si>
    <t>&lt;= 350</t>
  </si>
  <si>
    <t>10.2.6</t>
  </si>
  <si>
    <t>Нитраты</t>
  </si>
  <si>
    <t>&lt;= 45</t>
  </si>
  <si>
    <t>&lt;0,003</t>
  </si>
  <si>
    <t>11</t>
  </si>
  <si>
    <t>Доля абонентов компании, имеющая круглосуточную услугу водоснабжения с условием обеспечения необходимого напора воды (%)</t>
  </si>
  <si>
    <t>12</t>
  </si>
  <si>
    <t>Доля нормативно очищенных сточных вод в общем объеме принятых сточных вод (%)</t>
  </si>
  <si>
    <t>Показатели технического состояния</t>
  </si>
  <si>
    <t>13</t>
  </si>
  <si>
    <t xml:space="preserve">Аварийности систем коммунальной инфраструктуры </t>
  </si>
  <si>
    <t>ед./км.</t>
  </si>
  <si>
    <t>13.1</t>
  </si>
  <si>
    <t>13.2</t>
  </si>
  <si>
    <t>13.3</t>
  </si>
  <si>
    <t>13.3.1</t>
  </si>
  <si>
    <t>13.3.2</t>
  </si>
  <si>
    <t>13.4</t>
  </si>
  <si>
    <t>Количество аварий на системах коммунальной инфраструктуры</t>
  </si>
  <si>
    <t>13.4.1</t>
  </si>
  <si>
    <t>13.4.2</t>
  </si>
  <si>
    <t>14</t>
  </si>
  <si>
    <t>Процент замененных сетей</t>
  </si>
  <si>
    <t>14.1</t>
  </si>
  <si>
    <t>14.2</t>
  </si>
  <si>
    <t>14.3</t>
  </si>
  <si>
    <t>Заменено сетей</t>
  </si>
  <si>
    <t>14.3.1</t>
  </si>
  <si>
    <t>14.3.2</t>
  </si>
  <si>
    <t>14.4</t>
  </si>
  <si>
    <t>14.4.1</t>
  </si>
  <si>
    <t>14.4.2</t>
  </si>
  <si>
    <t>15</t>
  </si>
  <si>
    <t xml:space="preserve">Перебои водоснабжения </t>
  </si>
  <si>
    <t>час/потребитель</t>
  </si>
  <si>
    <t>15.1</t>
  </si>
  <si>
    <t>Численность населения, пользующихся услугами данной организации</t>
  </si>
  <si>
    <t>15.2</t>
  </si>
  <si>
    <t>Количество часов предоставления услуг в отчетном периоде факт</t>
  </si>
  <si>
    <t>час</t>
  </si>
  <si>
    <t>15.3</t>
  </si>
  <si>
    <t>Количество часов отключения в год</t>
  </si>
  <si>
    <t>Показатели эффективности деятельности</t>
  </si>
  <si>
    <t>16</t>
  </si>
  <si>
    <t>Удельное энергопотребление (водоснабжение)</t>
  </si>
  <si>
    <t>16.1</t>
  </si>
  <si>
    <t>16.1.1</t>
  </si>
  <si>
    <t>Объем воды, отпускаемой в сеть</t>
  </si>
  <si>
    <r>
      <rPr>
        <sz val="11"/>
        <rFont val="Times New Roman"/>
        <family val="1"/>
        <charset val="204"/>
      </rPr>
      <t>тыс. м</t>
    </r>
    <r>
      <rPr>
        <vertAlign val="superscript"/>
        <sz val="11"/>
        <rFont val="Times New Roman"/>
        <family val="1"/>
        <charset val="204"/>
      </rPr>
      <t>3</t>
    </r>
  </si>
  <si>
    <t>16.1.2</t>
  </si>
  <si>
    <t>Объем потребления электрической энергии</t>
  </si>
  <si>
    <t>тыс. кВт*ч.</t>
  </si>
  <si>
    <t>16.2</t>
  </si>
  <si>
    <t>16.2.1</t>
  </si>
  <si>
    <t>Объем транспортируемой воды</t>
  </si>
  <si>
    <t>16.2.2</t>
  </si>
  <si>
    <t>16.3</t>
  </si>
  <si>
    <t>удельный расход электрической энергии, потребляемой в технологических процессах подготовки питьевой воды и транспортировки питьевой воды, на единицу объема поднятой воды, кВтч/м3</t>
  </si>
  <si>
    <t>16.3.1</t>
  </si>
  <si>
    <t>Объем поднимаемой воды</t>
  </si>
  <si>
    <t>16.3.2</t>
  </si>
  <si>
    <t>17</t>
  </si>
  <si>
    <t>Удельное энергопотребление (водоотведение)</t>
  </si>
  <si>
    <t>17.1</t>
  </si>
  <si>
    <t>17.1.1</t>
  </si>
  <si>
    <t>Объем очищаемых сточных вод</t>
  </si>
  <si>
    <t>17.1.2</t>
  </si>
  <si>
    <t>17.2</t>
  </si>
  <si>
    <t>17.2.1</t>
  </si>
  <si>
    <t>Объем транспортируемых сточных вод</t>
  </si>
  <si>
    <t>17.2.2</t>
  </si>
  <si>
    <t xml:space="preserve">Приложение 7 к концессионному соглашению от 29.12.2016 
</t>
  </si>
  <si>
    <t>Приложение 7 к Изменениям в Регламент порядка контроля</t>
  </si>
  <si>
    <t>Отчет о выполнении плановых технико-экономических показателей деятельности Концессионера за 2018 год</t>
  </si>
  <si>
    <t>2017 год</t>
  </si>
  <si>
    <t>2018 год</t>
  </si>
  <si>
    <t>Годы (2019-2036)</t>
  </si>
  <si>
    <t>отклонение</t>
  </si>
  <si>
    <t>% выполнения</t>
  </si>
  <si>
    <t>примечание</t>
  </si>
  <si>
    <t>Кузнецова</t>
  </si>
  <si>
    <t>В объем фактических потерь 7380 тыс.м3 входят расходы воды на собственные (производственные) нужды. Реальный объем фактических потерь за 2017 год без учета производственных нужд составил  6416 тыс.м3 что ниже планового значения</t>
  </si>
  <si>
    <t>При формировании плановых показателей подъема воды не были учтены объемы на производственные нужды (промывка сетей, пожаротушение, собственные нужды и т.д.). При корректном значении планового подъема воды (19 523 тыс.м3) по итогам года складывается экономия. Снижение подъема воды связано со снижением полезного отпуска (снизился объем потребления воды абонентами)</t>
  </si>
  <si>
    <t>Копытова</t>
  </si>
  <si>
    <t>Снижение полезного отпуска связанос проведением перерасчетов "Населению", по гр. потребителей "Бюджет" рациональным испольованием энергоресурсов( по крупным предприпятиям АО "Уралкалий" -БПКРУ-4 ремонт и реконструкция сетей), АО "БСЗ промплощадка БПКРУ-1 устраненты утечки на сетях абонента, ПАО АВИСМА использование своих скважин, ПАО Т+  -экономия бюджетных средств, малые коммерческие предприятия по причине экономии денежных средств.</t>
  </si>
  <si>
    <t>В процент фактических потерь 37,97% входят расходы воды на собственные (производственные) нужды. Реальный процент фактических потерь за 2017 год без учета производственных нужд составил 33,01% что ниже планового значения</t>
  </si>
  <si>
    <t>Проведение оптимизационных мероприятий, а так же выводом на аутсорсинг</t>
  </si>
  <si>
    <t>Савченко</t>
  </si>
  <si>
    <t>Увеличение сбрасываемых сточных вод по причине в 2017г. погодных условий, увеличение попадания талых и дождевых вод</t>
  </si>
  <si>
    <t>Верина</t>
  </si>
  <si>
    <t>Грибанов</t>
  </si>
  <si>
    <t>???</t>
  </si>
  <si>
    <t>Увеличение количества перерывов подачи воды в расчете на протяженность связано с увеличением количесвта отключений (увеличиние аварийности в связи с высоким износом сетей водопровода, повреждений третьими лицами и подрядными организациями )</t>
  </si>
  <si>
    <t>Увеличение количества перерывов подачи воды в расчете на протяженность связано с увеличением количества засоров на сетях канализации обусловлено: отсутствием УК в МКД (ни кем не производится своевременное обслуживание и обследование сетей у данных домов); обрастанием труб коррозионными отложениями, на участках с большим сроком эксплуатации; с погодными условиями - обильными осадками резким таянием снега , в результате чего увеличивается объем стоков (затягивает песок, камни, мелкий мусор); с повреждением третьими лицами</t>
  </si>
  <si>
    <t>Увеличение протяженности сетей водопровода связано со строительством сетей в Правобережной части г. Березники</t>
  </si>
  <si>
    <t>Увеличение количества перерывов подачи воды связано с увеличением количесвта отключений для устранения аварийных ситуаций на сетях водопровода (увеличение аварийности в связи с высоким износом сетей водопровода, повреждений третьими лицами и подрядными организациями )</t>
  </si>
  <si>
    <t>Блинова</t>
  </si>
  <si>
    <t>Увеличение засоров на сетях канализации обусловлено: отсутствием УК в МКД (ни кем не производится своевременное обслуживание и обследование сетей у данных домов); обрастанием труб коррозионными отложениями, на участках с большим сроком эксплуатации; с погодными условиями - обильными осадками резким таянием снега , в результате чего увеличивается объем стоков (затягивает песок, камни, мелкий мусор); с повреждением третьими лицами</t>
  </si>
  <si>
    <t>Савченко ???</t>
  </si>
  <si>
    <t xml:space="preserve">Работы по устранению повреждений с отключениями проводились в кратчайшие сроки </t>
  </si>
  <si>
    <t>При формировании плановых показателей подъема воды не были учтены объемы на производственные нужды (промывка сетей, пожаротушение, собственные нужды и т.д.) и как следствие плановый расход электроэнергии посчитан некорректно. При корректном значении планового подъема воды расход планируемой электроэнергии выше фактической, по итогам года складывается экономия. В виду этого по годывые значения удельного показателя меньше плановых (снижением подъема и снижение расхода электроэнергии)</t>
  </si>
  <si>
    <t>При формировании плановых показателей подъема воды не были учтены объемы на производственные нужды (промывка сетей, пожаротушение, собственные нужды и т.д.). При корректном значении планового подъема воды  (19 523 тыс.м3)по итогам года складывается экономия. Снижение подъема воды связано со снижением полезного отпуска (снизился объем потребления воды абонентами)</t>
  </si>
  <si>
    <t xml:space="preserve">При формировании плановых показателей подъема воды не были учтены объемы на производственные нужды (промывка сетей, пожаротушение, собственные нужды и т.д.) и как следствие плановый расход электроэнергии посчитан некорректно. При корректном значении планового подъема воды расход планируемой электроэнергии выше фактической, по итогам года складывается экономия. </t>
  </si>
  <si>
    <t>Махнева</t>
  </si>
  <si>
    <t>Снижение удельного показателя связано с  оптимизацией работы насосного оборудования а так же выбора оптимального режима водоснабжения</t>
  </si>
  <si>
    <t>Снижение объема расхода электроэнергии связана с оптимизацией работы насосного оборудования а так же выбора оптимального режима водоснабжения</t>
  </si>
  <si>
    <t>При формировании плановых показателей подъема воды не были учтены объемы на производственные нужды (промывка сетей, пожаротушение, собственные нужды и т.д.). При корректном значении планового подъема воды по итогам года складывается экономия. Снижение подъема воды связано со снижением полезного отпуска (снизился объем потребления воды абонентами)</t>
  </si>
  <si>
    <t>Снижение удельного показателя связано со снижением пропуска сточных вод</t>
  </si>
  <si>
    <t>Снижение удельного показателя связано с оптимизацией работы насосного оборудования а так же выбора оптимального режима водоотведения</t>
  </si>
  <si>
    <t xml:space="preserve">Снижение объема расхода электроэнергии связана с оптимизацией работы насосного оборудования </t>
  </si>
  <si>
    <t>Главный управляющий директор ООО "БВК"</t>
  </si>
  <si>
    <t>Тунев С.П.</t>
  </si>
  <si>
    <t>ВОДОСНАБЖЕНИЕ</t>
  </si>
  <si>
    <t>1.3</t>
  </si>
  <si>
    <t>1.4</t>
  </si>
  <si>
    <t>ВОДООТВЕДЕНИЕ</t>
  </si>
  <si>
    <t>Приложение 9 к концессионному соглашению от 29.12.2016</t>
  </si>
  <si>
    <t>Приложение 9 к Изменениям в Регламент порядка контроля</t>
  </si>
  <si>
    <t>Отчет по объему валовой выручки, получаемой Концессионером в рамках реализации Соглашения за 2018 год</t>
  </si>
  <si>
    <t>Наименование</t>
  </si>
  <si>
    <t>Единица
измерений</t>
  </si>
  <si>
    <t>Истекший
год (i-2)</t>
  </si>
  <si>
    <t>Текущий
год (i-1)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</si>
  <si>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</si>
  <si>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</si>
  <si>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</si>
  <si>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</si>
  <si>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</si>
  <si>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</si>
  <si>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</si>
  <si>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</si>
  <si>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</si>
  <si>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</si>
  <si>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</si>
  <si>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</si>
  <si>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</si>
  <si>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16-й год</t>
  </si>
  <si>
    <t>17-й год</t>
  </si>
  <si>
    <t>18-й год</t>
  </si>
  <si>
    <t>19-й год</t>
  </si>
  <si>
    <t>20-й год</t>
  </si>
  <si>
    <t>утв.</t>
  </si>
  <si>
    <t>1 п/г</t>
  </si>
  <si>
    <t>2 п/г</t>
  </si>
  <si>
    <t>ожид</t>
  </si>
  <si>
    <t>Итого</t>
  </si>
  <si>
    <t>5</t>
  </si>
  <si>
    <t>тыс. руб.</t>
  </si>
  <si>
    <t>Текущие расходы</t>
  </si>
  <si>
    <t>1.1.1</t>
  </si>
  <si>
    <t>Операционные расходы</t>
  </si>
  <si>
    <t>1.1.1.1</t>
  </si>
  <si>
    <t>Производственные расходы:</t>
  </si>
  <si>
    <t>1.1.1.1.1</t>
  </si>
  <si>
    <t>расходы на приобретение сырья и материалов и их хранение</t>
  </si>
  <si>
    <t>1.1.1.1.2</t>
  </si>
  <si>
    <t>расходы на оплату труда и отчисления на социальные нужды основного производственного персонала,
в том числе:</t>
  </si>
  <si>
    <t>1.1.1.1.2.1</t>
  </si>
  <si>
    <t>налоги и сборы с фонда оплаты труда</t>
  </si>
  <si>
    <t>1.1.1.1.3</t>
  </si>
  <si>
    <t>общехозяйственные расходы</t>
  </si>
  <si>
    <t>1.1.1.1.4</t>
  </si>
  <si>
    <t>другие производственные расходы:</t>
  </si>
  <si>
    <t>1.1.1.2</t>
  </si>
  <si>
    <t>Ремонтные расходы</t>
  </si>
  <si>
    <t>1.1.1.3</t>
  </si>
  <si>
    <t>Административные расходы</t>
  </si>
  <si>
    <t>1.1.1.4</t>
  </si>
  <si>
    <t>индекс эффективности расходов</t>
  </si>
  <si>
    <t>1.1.1.5</t>
  </si>
  <si>
    <t>индекс потребительских цен</t>
  </si>
  <si>
    <t>1.1.1.6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</si>
  <si>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</si>
  <si>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</si>
  <si>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</si>
  <si>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</si>
  <si>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</si>
  <si>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</si>
  <si>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Расходы на оплату товаров (услуг, работ), приобретаемых у других организаций</t>
  </si>
  <si>
    <t>1.1.3.1.1</t>
  </si>
  <si>
    <t>Расходы на транспортировку воды</t>
  </si>
  <si>
    <t>1.1.3.1.2</t>
  </si>
  <si>
    <t>Расходы на покупку воды</t>
  </si>
  <si>
    <t>1.1.3.2</t>
  </si>
  <si>
    <t>Налоги и сборы</t>
  </si>
  <si>
    <t>1.1.3.2.1</t>
  </si>
  <si>
    <t>Налог на прибыль</t>
  </si>
  <si>
    <t>1.1.3.2.2</t>
  </si>
  <si>
    <t>Налог на имущество организаций</t>
  </si>
  <si>
    <t>1.1.3.2.3</t>
  </si>
  <si>
    <t>Земельный налог и арендная плата за землю</t>
  </si>
  <si>
    <t>1.1.3.2.4</t>
  </si>
  <si>
    <t>Водный налог</t>
  </si>
  <si>
    <t>1.1.3.2.5</t>
  </si>
  <si>
    <t>Плата за пользование водным объектом</t>
  </si>
  <si>
    <t>1.1.3.2.6</t>
  </si>
  <si>
    <t>Транспортный налог</t>
  </si>
  <si>
    <t>1.1.3.2.7</t>
  </si>
  <si>
    <t>Плата за негативное воздействие на окружающую среду</t>
  </si>
  <si>
    <t>1.1.3.2.8</t>
  </si>
  <si>
    <t>Прочие налоги и сборы</t>
  </si>
  <si>
    <t>1.1.3.3</t>
  </si>
  <si>
    <t>Арендная и концессионная плата, лизинговые платежи, в том числе:</t>
  </si>
  <si>
    <t>1.1.3.3.1</t>
  </si>
  <si>
    <t>Арендная плата</t>
  </si>
  <si>
    <t>1.1.3.3.2</t>
  </si>
  <si>
    <t>Концессионная плата</t>
  </si>
  <si>
    <t>1.1.3.3.3</t>
  </si>
  <si>
    <t>Лизинговые платежи</t>
  </si>
  <si>
    <t>1.1.3.4</t>
  </si>
  <si>
    <t>Резерв по сомнительным долгам гарантирующей организации</t>
  </si>
  <si>
    <t>1.1.3.4.1</t>
  </si>
  <si>
    <t>Сбытовые расходы гарантирующей организации</t>
  </si>
  <si>
    <t>1.1.3.5</t>
  </si>
  <si>
    <t>Займы и кредиты (для метода индексации)</t>
  </si>
  <si>
    <t>1.1.3.5.1</t>
  </si>
  <si>
    <t>возврат займов и кредитов</t>
  </si>
  <si>
    <t>1.1.3.5.2</t>
  </si>
  <si>
    <t>проценты по займам и кредитам</t>
  </si>
  <si>
    <t>Амортизация</t>
  </si>
  <si>
    <t>Нормативная прибыль</t>
  </si>
  <si>
    <t>1.3.1</t>
  </si>
  <si>
    <t>Капитальные расходы</t>
  </si>
  <si>
    <t>1.3.2</t>
  </si>
  <si>
    <t>Иные экономически обоснованные расходы</t>
  </si>
  <si>
    <t>Расчетная предпринимательская прибыль гарантирующей организации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</si>
  <si>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</si>
  <si>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</si>
  <si>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</si>
  <si>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</si>
  <si>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</si>
  <si>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</si>
  <si>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</si>
  <si>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
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
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</si>
  <si>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</si>
  <si>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</si>
  <si>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По темпам роста тарифов, заданным Администрацией г. Березники</t>
  </si>
  <si>
    <t xml:space="preserve">
</t>
  </si>
  <si>
    <t>Итого НВВ (объем валовой выручки) для расчета тарифа</t>
  </si>
  <si>
    <t>Объем водоснабжения (водоотведения)</t>
  </si>
  <si>
    <t>тыс. куб. м</t>
  </si>
  <si>
    <t>Населению</t>
  </si>
  <si>
    <t>Иным потребителям  (за исключением ВК «Тепличное хозяйство», ВК «Сода, Азот»)</t>
  </si>
  <si>
    <t>Иным потребителям  (ВК «Тепличное хозяйство», ВК «Сода, Азот»)</t>
  </si>
  <si>
    <t>Тариф на водоснабжение (водоотведение)</t>
  </si>
  <si>
    <t>руб./куб. м</t>
  </si>
  <si>
    <t>Тариф для населения (с учетом НДС), руб./м3</t>
  </si>
  <si>
    <t>Тариф для иных потребителей (без учета НДС), руб./м3</t>
  </si>
  <si>
    <t>Тариф для иных потребителей, подключенных к водоводам от ВК «Тепличное хозяйство», ВК «Сода, Азот» (без учета НДС), руб./м3</t>
  </si>
  <si>
    <t>Темп роста НВВ, в т.ч.:</t>
  </si>
  <si>
    <t>Темп роста тарифа расчетный</t>
  </si>
  <si>
    <t>Приложение 10 к Изменениям в Регламент порядка контроля</t>
  </si>
  <si>
    <t>Приложение  10 к концессионному соглашению от 29.12.2016</t>
  </si>
  <si>
    <t>Отчет о размере расходов на создание и реконструкцию объекта Соглашения за 2018 год</t>
  </si>
  <si>
    <t xml:space="preserve"> </t>
  </si>
  <si>
    <t>Мероприятие</t>
  </si>
  <si>
    <t>Итого (2017-2036)</t>
  </si>
  <si>
    <t>Годы (2017-2036)</t>
  </si>
  <si>
    <t>факт 2017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</si>
  <si>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</si>
  <si>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</si>
  <si>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</si>
  <si>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</si>
  <si>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</si>
  <si>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</si>
  <si>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</si>
  <si>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</si>
  <si>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</si>
  <si>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</si>
  <si>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</si>
  <si>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</si>
  <si>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Финансовые потребности на реализацию инвестиционных мероприятий</t>
  </si>
  <si>
    <t>КВЛ (капитальные вложения)</t>
  </si>
  <si>
    <t>% за пользование заемными средствами (кредита)</t>
  </si>
  <si>
    <t>Оборотный капитал</t>
  </si>
  <si>
    <t>Источники финансирования в разрезе использования собственных средств и привлечения заемных средств, в том числе:</t>
  </si>
  <si>
    <t>расходы, учитываемые в тарифах, в том числе:</t>
  </si>
  <si>
    <t>2.1.1</t>
  </si>
  <si>
    <t>2.1.2</t>
  </si>
  <si>
    <t>Прибыль (капитальные вложения)</t>
  </si>
  <si>
    <t>2.1.3</t>
  </si>
  <si>
    <t>2.1.4</t>
  </si>
  <si>
    <t>Возврат основной суммы долга заемных средств (кредита)</t>
  </si>
  <si>
    <t>Заемные средства</t>
  </si>
  <si>
    <t>4.1.3</t>
  </si>
  <si>
    <t>4.1.4</t>
  </si>
  <si>
    <t>6.1.1</t>
  </si>
  <si>
    <t>6.1.2</t>
  </si>
  <si>
    <t>6.1.3</t>
  </si>
  <si>
    <t>6.1.4</t>
  </si>
  <si>
    <t xml:space="preserve">Приложение №2 к Изменениям в Регламент порядка контроля </t>
  </si>
  <si>
    <t xml:space="preserve">Отчёт Концессионера о выполнении Плана капитальных ремонтов объектов Концессионного соглашения </t>
  </si>
  <si>
    <t>за 2018 год</t>
  </si>
  <si>
    <t>Инв. №</t>
  </si>
  <si>
    <t>Объем работ</t>
  </si>
  <si>
    <t>Стоимость работ тыс. руб. без НДС</t>
  </si>
  <si>
    <t>Начало работ по плану</t>
  </si>
  <si>
    <t>Завершение работ по плану</t>
  </si>
  <si>
    <t>Завершение работ по факту</t>
  </si>
  <si>
    <t>Выполнение мероприятия, %</t>
  </si>
  <si>
    <t>Примечание</t>
  </si>
  <si>
    <t>1. Мероприятия по объектам водоснабжения</t>
  </si>
  <si>
    <t>Капитальный ремонт водовода по ул.Бр.Кочевых</t>
  </si>
  <si>
    <t>L=200 м
Ду=40мм</t>
  </si>
  <si>
    <t>4 квартал 2018г.</t>
  </si>
  <si>
    <t>-</t>
  </si>
  <si>
    <t>Работы выполнены</t>
  </si>
  <si>
    <t>Перекладка участка водовода, подающего воду с водозабора "Извер"</t>
  </si>
  <si>
    <t>L=300 м
Ду=500мм</t>
  </si>
  <si>
    <t>Капитальный ремонт водовода по ул.Набережной в районе дома № 31 (восстановление закольцовки)</t>
  </si>
  <si>
    <t>L=125 м
Ду=150мм</t>
  </si>
  <si>
    <t>Сентябрь 2018</t>
  </si>
  <si>
    <t>3 квартал 2018г.</t>
  </si>
  <si>
    <t>К работам приступили в 3 квартале 2018 г., благоустройтсво сдано в сентябре 2018г.</t>
  </si>
  <si>
    <t>Перекладка магистрального водовода Д500мм, проходящего по ул.Мира</t>
  </si>
  <si>
    <t>L=185 м
Ду=400мм</t>
  </si>
  <si>
    <t>1 квартал 2018</t>
  </si>
  <si>
    <t>2 квартал 2018г.</t>
  </si>
  <si>
    <t>2 квартал 2018</t>
  </si>
  <si>
    <t>К работам приступили во 2 квартале (в июне), работы полностью выполнены в 3 квартале, благоустройство сдано в начале 4го квартала</t>
  </si>
  <si>
    <t>1.5</t>
  </si>
  <si>
    <t>Капитальный ремонт водовода, подающего воду на м/р "З" г.Березники</t>
  </si>
  <si>
    <t>L 492 м
Ду=400мм</t>
  </si>
  <si>
    <t>1.6</t>
  </si>
  <si>
    <t>Капитальный ремонт кирпичного здания насосной станции 1-4 водозабора «Усолка»</t>
  </si>
  <si>
    <t>S=28.5 м2</t>
  </si>
  <si>
    <t>1.7</t>
  </si>
  <si>
    <t>Капитальный ремонт кирпичного здания насосной станции 1-3 водозабора «Усолка»</t>
  </si>
  <si>
    <t>1.8</t>
  </si>
  <si>
    <t>Капитальный ремонт кирпичного здания насосной станции 3-2 водозабора «Усолка»</t>
  </si>
  <si>
    <t>1.9</t>
  </si>
  <si>
    <t>Капитальный ремонт кирпичного здания насосной станции 2-3 водозабора «Усолка»</t>
  </si>
  <si>
    <t>1.10</t>
  </si>
  <si>
    <t>Капитальный ремонт системы диспетчеризации насосной станции 3-го подъёма</t>
  </si>
  <si>
    <t>1 ед.</t>
  </si>
  <si>
    <t>1.11</t>
  </si>
  <si>
    <t>30237/3128</t>
  </si>
  <si>
    <t>Устройство перемычки на водоводе, подающем воду на Соду-Азот с заменой запорной арматуры</t>
  </si>
  <si>
    <t>3 ед.</t>
  </si>
  <si>
    <t>1.12</t>
  </si>
  <si>
    <t>Капитальный ремонт водопровода Челюскинцев 85</t>
  </si>
  <si>
    <t>L 45 м
Ду=80мм</t>
  </si>
  <si>
    <t>Мероприятие не было запланировано, согласовано к реализации в счет экономии по программе капитальных ремонтов на 2018г.</t>
  </si>
  <si>
    <t>2. Мероприятия по объектам водоотведения</t>
  </si>
  <si>
    <t>Капитальный ремонт канализационного напорного коллектора от камеры переключения в сторону ГОС до точки А Ду 710 мм протяжённостью 1473 м</t>
  </si>
  <si>
    <t>L=450 м
Ду=700мм</t>
  </si>
  <si>
    <t xml:space="preserve">Работы выполнены в полном объеме в 4 квартале 2018г.  </t>
  </si>
  <si>
    <t>Капитальный ремонт кровли кирпичного здания КНС-7</t>
  </si>
  <si>
    <t>S=236 м2</t>
  </si>
  <si>
    <t>Работы выполнены в полном объёме в 3 квартале 2018 года. Вознилки доп.работы по ремонту кровли, оформлен акт № 1 от 25.08.2018г. на доп.работ с исключением работ по внутренней отделке здания КНС № 5.</t>
  </si>
  <si>
    <t>Капитальный ремонт кирпичного здания КНС №5</t>
  </si>
  <si>
    <t>S=59 м2</t>
  </si>
  <si>
    <t>Выполнены работы в 3 квартале 2018 года только по ремонту кровли КНС № 5, работы по внутренней отделке здания иключены в соответствии с актом № 1 от 25.08.2018г.</t>
  </si>
  <si>
    <t>С.П. Тунев</t>
  </si>
  <si>
    <t xml:space="preserve">Приложение №3 к Изменениям в Регламент порядка контроля </t>
  </si>
  <si>
    <t xml:space="preserve">Отчёт Концессионера о выполнении Инвестиционных мероприятий 
на объектах водоснабжения и водоотведения,
переданных по концессионному соглашению ООО «БВК» </t>
  </si>
  <si>
    <t>Стоимость работ, тыс. руб. без НДС по плану на 2018г.</t>
  </si>
  <si>
    <t>Начало работ</t>
  </si>
  <si>
    <t>Завершение работ</t>
  </si>
  <si>
    <t>1.1.</t>
  </si>
  <si>
    <t>Новое строительство</t>
  </si>
  <si>
    <t>Строительство сетей водоснабжения в р-не Суханово для многодетных семей</t>
  </si>
  <si>
    <t>Март 2018г.</t>
  </si>
  <si>
    <t>Декабрь 2018г.</t>
  </si>
  <si>
    <t>Договор был заключен с ООО "РИК", но ПСД не была согласована с ООО "ОРЭС", работы не начаты до устранения разночтений в проектной документации, договор расторгнут</t>
  </si>
  <si>
    <t>1.2.</t>
  </si>
  <si>
    <t>Перевод технологии обеззараживания водозабора «Усолка» с жидкого хлора на гипохлорит натрия, разработка ПСД</t>
  </si>
  <si>
    <t>Март 2018г. ПСД</t>
  </si>
  <si>
    <t xml:space="preserve">Сентябрь
2018г. ПСД
</t>
  </si>
  <si>
    <t>Заключен договор на разработку ПСД с ООО "НПЦ "Селен". ПСД разработана.</t>
  </si>
  <si>
    <t>1.3.</t>
  </si>
  <si>
    <t>Перевод технологии обеззараживания водозабора «Извер» с жидкого хлора на гипохлорит натрия, разработка ПСД</t>
  </si>
  <si>
    <t>Сентябрь 2018г. ПСД</t>
  </si>
  <si>
    <t>Конкурс был проведен, но от победителя конкурса поступил отказ от выполнение работ.  Так как для проведения повторного конкурса требовался довольно значительный период, выполнить работу в 2018 году не представлялось возможным. Выполнение мероприятия перенесено на более поздний срок (2020-2021гг.)</t>
  </si>
  <si>
    <t>1.4.</t>
  </si>
  <si>
    <t>Установка насосного оборудования в количестве 4 насосных агрегатов на водозабор "Извер</t>
  </si>
  <si>
    <t>4 насоса</t>
  </si>
  <si>
    <t>Ноябрь 2018г.</t>
  </si>
  <si>
    <t xml:space="preserve">Выполнено в 3 квартале 2018 года. </t>
  </si>
  <si>
    <t>1.5.</t>
  </si>
  <si>
    <t>Модернизация (приобретение и установка) насосных агрегатов на водозаборе «Усолка»-4 ед.</t>
  </si>
  <si>
    <t>Межквартальные сети водоснабжения от водонасосной станции третьего подъема до ул. Ивана Дощеникова</t>
  </si>
  <si>
    <t>2016 год</t>
  </si>
  <si>
    <t>В 2018г. были приняты  работы по  строительству сетей водоснабжения в микрорайоне «Любимов». в объемах, которые не были учтены проектной документацией. Работы завершены, пакет документов передан на регистрацию.</t>
  </si>
  <si>
    <t>2.1.</t>
  </si>
  <si>
    <t>Замена насосного оборудования иловой насосной станции ГОС</t>
  </si>
  <si>
    <t>1 насос</t>
  </si>
  <si>
    <t>Июль 2018г.</t>
  </si>
  <si>
    <t>Октябрь 2018г.</t>
  </si>
  <si>
    <t xml:space="preserve">Выполнено в 4 квартале 2018 года. </t>
  </si>
  <si>
    <t>2.2.</t>
  </si>
  <si>
    <t>Реконструкция и модернизация действующих очистных сооружений Левого берега</t>
  </si>
  <si>
    <t>Работы по реконструкции и модернизации очистных сооружений Левого берега являются переходящими с интервалом 2018-2036 гг. В рамках 2018-2019гг запланировано приобретение, монтаж, поставка и установка пресс-фильтра в цех механического обозвожживания ГОС. В 2018г. проведена конкурсная процедура. Победителем конкурса является ООО "ДАКТ-Инжиниринг".  В связи с тем, что Контрагент имеет учередителей в США, а на учередителей нашего предприятия наложены определенные санкции данной страной, затянулся процесс согласования данного контрагента ( согласование было получено только в январе 2019г.). в настоящее время договор подписан.  Выполнение работ запланированы на 2019 год согласно протоколу совещания по корректировке БП 2019 года под утвержденные тарифы ООО «БВК»</t>
  </si>
  <si>
    <t>Межквартальные сети водоотведения хозяйственно-бытовой канализации от квартала № 16 до ул. Ивана Дощеникова</t>
  </si>
  <si>
    <t>В 2018г. были приняты  работы по  строительству сетей водоотведения в микрорайоне «Любимов». в объемах, которые не были учтены проектной документацией. Работы завершены, пакет документов передан на регистрацию.</t>
  </si>
  <si>
    <t xml:space="preserve">Приложение №4 к Изменениям в Регламент порядка контроля </t>
  </si>
  <si>
    <t>Отчёт Концессионера о выполнении графика финансирования мероприятий Инвестиционной программы</t>
  </si>
  <si>
    <t>Наименование объекта</t>
  </si>
  <si>
    <t>Инвентарный номер</t>
  </si>
  <si>
    <t>Направление</t>
  </si>
  <si>
    <t>Название мероприятия</t>
  </si>
  <si>
    <t>Реализация</t>
  </si>
  <si>
    <t>Затраты, тыс.руб., без НДС</t>
  </si>
  <si>
    <t>Начало работ в 2018 г. по условиям КС</t>
  </si>
  <si>
    <t>Завершение работ в 2018 г. по условиям КС</t>
  </si>
  <si>
    <t>План на 2018г.</t>
  </si>
  <si>
    <t>Факт на 2018г.</t>
  </si>
  <si>
    <t>1. Сектор водоснабжения</t>
  </si>
  <si>
    <t>Сети водоснабжения в д. Суханово</t>
  </si>
  <si>
    <t>новое строительство</t>
  </si>
  <si>
    <t>Строительство новых объектов централизованных систем водоснабжения</t>
  </si>
  <si>
    <t>Строительство сетей водоснабжения в д. Суханово для многодетных семей</t>
  </si>
  <si>
    <t>Март 2018 год</t>
  </si>
  <si>
    <t>Декабрь 2018 год</t>
  </si>
  <si>
    <t>Здание блока хлораторной водозабора Усолка</t>
  </si>
  <si>
    <t>Повышение надёжности работы сооружений</t>
  </si>
  <si>
    <t>Перевод технологии обеззараживания водозабора «Усолка» с жидкого хлора на гипохлорит натрия</t>
  </si>
  <si>
    <t>Март 2018 год. ПСД</t>
  </si>
  <si>
    <t>Сентябрь 2018 год. ПСД</t>
  </si>
  <si>
    <t>Здание блока хлораторной  водозабора Извер</t>
  </si>
  <si>
    <t>Перевод технологии обеззараживания водозабора «Извер» с жидкого хлора на гипохлорит натрия</t>
  </si>
  <si>
    <t>Сентябрь 2018 год</t>
  </si>
  <si>
    <t>Насосная станция второго подъёма водозабора Извер</t>
  </si>
  <si>
    <t>Установка насосного оборудования в количестве 4 насосных агрегатов на водозаборе «Извер»</t>
  </si>
  <si>
    <t>Август 2018 год</t>
  </si>
  <si>
    <t>Насосная станция второго подъёма водозабора Усолка</t>
  </si>
  <si>
    <t>Повышение энергетической эффективности</t>
  </si>
  <si>
    <t>Модернизация (приобретение и установка) насосных агрегатов на водозаборе «Усолка» - 4 ед.</t>
  </si>
  <si>
    <t>Ноябрь 2018 год</t>
  </si>
  <si>
    <t>Строительство сетей водоснабжения и водоотведения микрорайона "Любимов" на правом берегу г. Березники</t>
  </si>
  <si>
    <t>2. Сектор водоотведения</t>
  </si>
  <si>
    <t>Кирпичное здание блока насосно-воздуходувной ГКОС </t>
  </si>
  <si>
    <t>Замена насосного оборудования иловой насосной станции Городских очистных сооружений</t>
  </si>
  <si>
    <t>Июль 2018 год</t>
  </si>
  <si>
    <t>Здание кирпичное киоск аэротенков  лит Ш</t>
  </si>
  <si>
    <t>Повышение экологической эффективности</t>
  </si>
  <si>
    <t>Объем валовой выручки, получаемой Концессионером в рамках реализации Соглашения, в том числе на каждый год срока действия Соглашения</t>
  </si>
  <si>
    <t>2017-2040 ВиВ</t>
  </si>
  <si>
    <t>Итого 
2017-2040</t>
  </si>
  <si>
    <t>1-й год</t>
  </si>
  <si>
    <t>2-й год</t>
  </si>
  <si>
    <t>21-й год</t>
  </si>
  <si>
    <t>22-й год</t>
  </si>
  <si>
    <t>23-й год</t>
  </si>
  <si>
    <t>24-й год</t>
  </si>
  <si>
    <t>2017 факт</t>
  </si>
  <si>
    <t>2018 факт</t>
  </si>
  <si>
    <t>2019 факт</t>
  </si>
  <si>
    <t>2020 факт</t>
  </si>
  <si>
    <t>1 полугодие</t>
  </si>
  <si>
    <t>2 полугодие</t>
  </si>
  <si>
    <t>2021 утверждено</t>
  </si>
  <si>
    <r>
      <rPr>
        <b/>
        <sz val="11"/>
        <rFont val="Times New Roman"/>
        <family val="1"/>
        <charset val="204"/>
      </rP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2017-2020 факт; 2021-2040 г. в тек.ценах</t>
    </r>
  </si>
  <si>
    <t>другие производственные расходы</t>
  </si>
  <si>
    <t>Расходы на транспортировку воды/стоков</t>
  </si>
  <si>
    <r>
      <rPr>
        <sz val="11"/>
        <rFont val="Times New Roman"/>
        <family val="1"/>
        <charset val="204"/>
      </rPr>
      <t>Займы и кредиты</t>
    </r>
    <r>
      <rPr>
        <sz val="11"/>
        <color rgb="FFFF0000"/>
        <rFont val="Times New Roman"/>
        <family val="1"/>
        <charset val="204"/>
      </rPr>
      <t xml:space="preserve"> </t>
    </r>
  </si>
  <si>
    <t>в т.ч. инвест.обязательства</t>
  </si>
  <si>
    <t>приобретение ОС</t>
  </si>
  <si>
    <t>возврат основной суммы долга заем.ср-в</t>
  </si>
  <si>
    <t>Проценты по займам и кредитам</t>
  </si>
  <si>
    <t>1.3.3</t>
  </si>
  <si>
    <t>Иные экономически обоснованные расходы на социальные нужды, в соответствии с пунктом 86 Методических указаний (по факту Сальдо прочих операционных доходов и расходов )</t>
  </si>
  <si>
    <r>
      <rPr>
        <sz val="11"/>
        <rFont val="Times New Roman"/>
        <family val="1"/>
        <charset val="204"/>
      </rPr>
      <t>Расчетная предпринимательская прибыль гарантирующей организации</t>
    </r>
    <r>
      <rPr>
        <sz val="11"/>
        <color rgb="FFFF0000"/>
        <rFont val="Times New Roman"/>
        <family val="1"/>
        <charset val="204"/>
      </rPr>
      <t xml:space="preserve"> </t>
    </r>
  </si>
  <si>
    <t>Иным потребителям</t>
  </si>
  <si>
    <t>Темп роста тарифа расчетный, в т.ч.</t>
  </si>
  <si>
    <t>население</t>
  </si>
  <si>
    <t>иные потребители</t>
  </si>
  <si>
    <t>Индексы       ИПЦ</t>
  </si>
  <si>
    <t xml:space="preserve">                      Электроэнергия</t>
  </si>
  <si>
    <t xml:space="preserve">                      Покупка воды/транспорт</t>
  </si>
  <si>
    <t>Расчетное НВВ в пределах индексации</t>
  </si>
  <si>
    <t>Нехватка средств</t>
  </si>
  <si>
    <t>Инвестиционные обязательства ВСЕГО (приб+аморт+возврат)</t>
  </si>
  <si>
    <t>проверка из прил.10</t>
  </si>
  <si>
    <t>Инвестиционные обязательства (приб+аморт)</t>
  </si>
  <si>
    <t>нехватка средств ВиВ</t>
  </si>
  <si>
    <t>Инвестобязательства в КС ВиВ (без учета мероприятий за счет кредитов)</t>
  </si>
  <si>
    <t>Инвестобязательства в расчете прибыль+ амортизация+доп.кредит 2022-2024 гг</t>
  </si>
  <si>
    <t>отклонение, нехватка (-)</t>
  </si>
  <si>
    <t>Справочно: для постановления</t>
  </si>
  <si>
    <t>Тариф для населения (без НДС), руб./м3</t>
  </si>
  <si>
    <t>Тариф на ВиВ</t>
  </si>
  <si>
    <r>
      <rPr>
        <sz val="11"/>
        <rFont val="Times New Roman"/>
        <family val="1"/>
        <charset val="204"/>
      </rPr>
      <t xml:space="preserve">Темп роста тарифа расчетный 
</t>
    </r>
    <r>
      <rPr>
        <b/>
        <sz val="11"/>
        <rFont val="Times New Roman"/>
        <family val="1"/>
        <charset val="204"/>
      </rPr>
      <t>(с 01.07.)</t>
    </r>
  </si>
  <si>
    <t>Предельный минимальный размер расходов на создание и реконструкцию объекта Соглашения, которые предполагается осуществить в течение всего срока действия Соглашения Концессионером</t>
  </si>
  <si>
    <t>тыс. р. без НДС (2017-2020 факт; 2021-2040 г. в тек.ценах)</t>
  </si>
  <si>
    <t>Итого по КС
2017-2036</t>
  </si>
  <si>
    <t>Итого
2017-2020 факт
2021-2040 план</t>
  </si>
  <si>
    <t>проверка всего обязательства</t>
  </si>
  <si>
    <t>амортизация+прибыль</t>
  </si>
  <si>
    <t xml:space="preserve">заемные средства </t>
  </si>
  <si>
    <t>лист "%"</t>
  </si>
  <si>
    <t>% за пользование (банк 7,5%+2%)</t>
  </si>
  <si>
    <t>возврат основного долга</t>
  </si>
  <si>
    <t>заемные средства</t>
  </si>
  <si>
    <t>ВС %</t>
  </si>
  <si>
    <t>ВО %</t>
  </si>
  <si>
    <t>база распределения по ВиВ амортизация</t>
  </si>
  <si>
    <t>Подъем</t>
  </si>
  <si>
    <t>Собственные нужды</t>
  </si>
  <si>
    <t>Отпуск в сеть</t>
  </si>
  <si>
    <t>Производственные нужды</t>
  </si>
  <si>
    <t>Собственные нужнды=регламентированный объем  387,63 тыс.куб.м в год+среднегодовой объем произв.нужд (19+20+21/3)=869,44 тыс.куб.м.</t>
  </si>
  <si>
    <t>% потерь</t>
  </si>
  <si>
    <t>с учетом проведения мероприятия, влияющих на снижение уровня потерь, а также выход на % потерь к 2040 год=30%</t>
  </si>
  <si>
    <t>Потери</t>
  </si>
  <si>
    <t>Согасно фин.модели</t>
  </si>
  <si>
    <t>проверка</t>
  </si>
  <si>
    <t>Показатель</t>
  </si>
  <si>
    <t>Водоснабжение</t>
  </si>
  <si>
    <t>количество перерывов в подаче воды, произошедших в результате аварий, повреждений и иных технологических нарушений на объектах централизованной системы холодного водоснабжения</t>
  </si>
  <si>
    <t>Водоотведение</t>
  </si>
  <si>
    <t>удельное количество аварий и засоров в расчете на протяженность канализационной сети в год</t>
  </si>
  <si>
    <t>количество аварий и засоров на канализационных сетях</t>
  </si>
  <si>
    <t>Пропуск</t>
  </si>
  <si>
    <t>среднегодовой пропуск ст.вод (19+20+21/3)</t>
  </si>
  <si>
    <t>ВХО</t>
  </si>
  <si>
    <t>произв.нужды в ВС</t>
  </si>
  <si>
    <t>% неучтенного притока</t>
  </si>
  <si>
    <t>Неучтенный приток</t>
  </si>
  <si>
    <t>пропуск-ВХО-реализовано</t>
  </si>
  <si>
    <t>согасно фин.модели</t>
  </si>
  <si>
    <t>Приложение  8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Березники от 28.12.2016 №3835</t>
  </si>
  <si>
    <t>Приложение  5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Березники от 28.12.2016 №3835</t>
  </si>
  <si>
    <t>Приложение  3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Березники от от 15.11.2023 № 01-02-1814</t>
  </si>
  <si>
    <t>Приложение  6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Березники от от 15.11.2023 № 01-02-1814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</si>
</sst>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_р_._-;\-* #,##0.00_р_._-;_-* \-??_р_._-;_-@_-"/>
    <numFmt numFmtId="165" formatCode="#\."/>
    <numFmt numFmtId="166" formatCode="#.00&quot;  &quot;"/>
    <numFmt numFmtId="167" formatCode="0.0%"/>
    <numFmt numFmtId="168" formatCode="_-* #,##0.00000_р_._-;\-* #,##0.00000_р_._-;_-* \-??_р_._-;_-@_-"/>
    <numFmt numFmtId="169" formatCode="0.0"/>
    <numFmt numFmtId="170" formatCode="#\ ##0"/>
    <numFmt numFmtId="171" formatCode="_-* #,##0.0000\ _₽_-;\-* #,##0.0000\ _₽_-;_-* \-??\ _₽_-;_-@_-"/>
    <numFmt numFmtId="172" formatCode="#,##0.000"/>
    <numFmt numFmtId="173" formatCode="0.00000"/>
    <numFmt numFmtId="174" formatCode="_-* #,##0.000_р_._-;\-* #,##0.000_р_._-;_-* \-??_р_._-;_-@_-"/>
    <numFmt numFmtId="175" formatCode="_-* #,##0.00\ _₽_-;\-* #,##0.00\ _₽_-;_-* \-??\ _₽_-;_-@_-"/>
    <numFmt numFmtId="176" formatCode="#,##0.00_ ;\-#,##0.00\ "/>
    <numFmt numFmtId="177" formatCode="_-* #,##0.0000_р_._-;\-* #,##0.0000_р_._-;_-* \-??_р_._-;_-@_-"/>
    <numFmt numFmtId="178" formatCode="_-* #,##0.000000\ _₽_-;\-* #,##0.000000\ _₽_-;_-* \-??\ _₽_-;_-@_-"/>
    <numFmt numFmtId="179" formatCode="0.000"/>
    <numFmt numFmtId="180" formatCode="#,##0.000000"/>
    <numFmt numFmtId="181" formatCode="#,##0.0000"/>
    <numFmt numFmtId="182" formatCode="#.#0"/>
    <numFmt numFmtId="183" formatCode="0_ "/>
    <numFmt numFmtId="184" formatCode="#\ ###\ ##0"/>
    <numFmt numFmtId="185" formatCode="_-* #,##0_р_._-;\-* #,##0_р_._-;_-* \-??_р_._-;_-@_-"/>
    <numFmt numFmtId="186" formatCode="#.00"/>
  </numFmts>
  <fonts count="44">
    <font>
      <sz val="11"/>
      <color rgb="FF000000"/>
      <name val="Calibri"/>
      <charset val="134"/>
    </font>
    <font>
      <sz val="11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1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8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Courier New"/>
      <family val="3"/>
      <charset val="204"/>
    </font>
    <font>
      <sz val="11"/>
      <color rgb="FF000000"/>
      <name val="Calibri"/>
      <family val="2"/>
      <charset val="204"/>
    </font>
    <font>
      <u/>
      <sz val="1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CC00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4" fontId="36" fillId="0" borderId="0" applyBorder="0" applyProtection="0"/>
    <xf numFmtId="9" fontId="36" fillId="0" borderId="0" applyBorder="0" applyProtection="0"/>
    <xf numFmtId="165" fontId="35" fillId="0" borderId="22">
      <protection locked="0"/>
    </xf>
  </cellStyleXfs>
  <cellXfs count="629">
    <xf numFmtId="0" fontId="0" fillId="0" borderId="0" xfId="0"/>
    <xf numFmtId="2" fontId="1" fillId="0" borderId="0" xfId="0" applyNumberFormat="1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10" fontId="1" fillId="0" borderId="1" xfId="2" applyNumberFormat="1" applyFont="1" applyBorder="1" applyAlignment="1" applyProtection="1"/>
    <xf numFmtId="10" fontId="1" fillId="0" borderId="0" xfId="0" applyNumberFormat="1" applyFont="1"/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wrapText="1"/>
    </xf>
    <xf numFmtId="2" fontId="1" fillId="0" borderId="7" xfId="0" applyNumberFormat="1" applyFont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67" fontId="1" fillId="0" borderId="1" xfId="2" applyNumberFormat="1" applyFont="1" applyBorder="1" applyAlignment="1" applyProtection="1">
      <alignment horizontal="center"/>
    </xf>
    <xf numFmtId="169" fontId="1" fillId="0" borderId="1" xfId="2" applyNumberFormat="1" applyFont="1" applyBorder="1" applyAlignment="1" applyProtection="1">
      <alignment horizontal="center"/>
    </xf>
    <xf numFmtId="4" fontId="1" fillId="0" borderId="1" xfId="2" applyNumberFormat="1" applyFont="1" applyBorder="1" applyAlignment="1" applyProtection="1">
      <alignment horizontal="center"/>
    </xf>
    <xf numFmtId="173" fontId="1" fillId="0" borderId="0" xfId="2" applyNumberFormat="1" applyFont="1" applyBorder="1" applyAlignment="1" applyProtection="1"/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 applyProtection="1"/>
    <xf numFmtId="175" fontId="1" fillId="0" borderId="0" xfId="3" applyNumberFormat="1" applyFont="1" applyFill="1" applyBorder="1" applyAlignment="1" applyProtection="1"/>
    <xf numFmtId="49" fontId="1" fillId="0" borderId="0" xfId="3" applyNumberFormat="1" applyFont="1" applyFill="1" applyBorder="1" applyAlignment="1" applyProtection="1">
      <alignment vertical="center"/>
    </xf>
    <xf numFmtId="0" fontId="1" fillId="0" borderId="0" xfId="3" applyNumberFormat="1" applyFont="1" applyFill="1" applyBorder="1" applyAlignment="1" applyProtection="1">
      <alignment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2" fontId="1" fillId="0" borderId="0" xfId="3" applyNumberFormat="1" applyFont="1" applyFill="1" applyBorder="1" applyAlignment="1" applyProtection="1">
      <alignment vertical="center"/>
    </xf>
    <xf numFmtId="0" fontId="1" fillId="0" borderId="0" xfId="3" applyNumberFormat="1" applyFont="1" applyFill="1" applyBorder="1" applyAlignment="1" applyProtection="1">
      <alignment horizontal="left"/>
    </xf>
    <xf numFmtId="49" fontId="3" fillId="0" borderId="0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</xf>
    <xf numFmtId="4" fontId="4" fillId="0" borderId="0" xfId="3" applyNumberFormat="1" applyFont="1" applyFill="1" applyBorder="1" applyAlignment="1" applyProtection="1">
      <alignment horizontal="center" vertical="center"/>
    </xf>
    <xf numFmtId="2" fontId="3" fillId="0" borderId="0" xfId="3" applyNumberFormat="1" applyFont="1" applyFill="1" applyBorder="1" applyAlignment="1" applyProtection="1">
      <alignment horizontal="center" vertic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2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/>
    </xf>
    <xf numFmtId="4" fontId="3" fillId="0" borderId="1" xfId="3" applyNumberFormat="1" applyFont="1" applyFill="1" applyBorder="1" applyAlignment="1" applyProtection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/>
    </xf>
    <xf numFmtId="49" fontId="3" fillId="0" borderId="1" xfId="3" applyNumberFormat="1" applyFont="1" applyFill="1" applyBorder="1" applyAlignment="1" applyProtection="1">
      <alignment horizontal="left" vertical="center"/>
    </xf>
    <xf numFmtId="0" fontId="3" fillId="0" borderId="1" xfId="3" applyNumberFormat="1" applyFont="1" applyFill="1" applyBorder="1" applyAlignment="1" applyProtection="1">
      <alignment vertical="center" wrapText="1"/>
    </xf>
    <xf numFmtId="175" fontId="3" fillId="0" borderId="1" xfId="3" applyNumberFormat="1" applyFont="1" applyFill="1" applyBorder="1" applyAlignment="1" applyProtection="1">
      <alignment horizontal="center" vertical="center" wrapText="1"/>
    </xf>
    <xf numFmtId="175" fontId="3" fillId="0" borderId="1" xfId="3" applyNumberFormat="1" applyFont="1" applyFill="1" applyBorder="1" applyAlignment="1" applyProtection="1">
      <alignment vertical="center" wrapText="1"/>
    </xf>
    <xf numFmtId="175" fontId="3" fillId="0" borderId="1" xfId="3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vertical="center" wrapText="1"/>
    </xf>
    <xf numFmtId="175" fontId="1" fillId="3" borderId="1" xfId="3" applyNumberFormat="1" applyFont="1" applyFill="1" applyBorder="1" applyAlignment="1" applyProtection="1">
      <alignment horizontal="center" vertical="center" wrapText="1"/>
    </xf>
    <xf numFmtId="175" fontId="1" fillId="0" borderId="1" xfId="3" applyNumberFormat="1" applyFont="1" applyFill="1" applyBorder="1" applyAlignment="1" applyProtection="1">
      <alignment vertical="center" wrapText="1"/>
    </xf>
    <xf numFmtId="175" fontId="1" fillId="0" borderId="1" xfId="3" applyNumberFormat="1" applyFont="1" applyFill="1" applyBorder="1" applyAlignment="1" applyProtection="1">
      <alignment horizontal="center" vertical="center"/>
    </xf>
    <xf numFmtId="175" fontId="1" fillId="0" borderId="1" xfId="3" applyNumberFormat="1" applyFont="1" applyFill="1" applyBorder="1" applyAlignment="1" applyProtection="1">
      <alignment horizontal="center" vertical="center" wrapText="1"/>
    </xf>
    <xf numFmtId="175" fontId="5" fillId="0" borderId="1" xfId="3" applyNumberFormat="1" applyFont="1" applyFill="1" applyBorder="1" applyAlignment="1" applyProtection="1">
      <alignment vertical="center" wrapText="1"/>
    </xf>
    <xf numFmtId="175" fontId="6" fillId="0" borderId="1" xfId="3" applyNumberFormat="1" applyFont="1" applyFill="1" applyBorder="1" applyAlignment="1" applyProtection="1">
      <alignment vertical="center" wrapText="1"/>
    </xf>
    <xf numFmtId="175" fontId="6" fillId="4" borderId="1" xfId="3" applyNumberFormat="1" applyFont="1" applyFill="1" applyBorder="1" applyAlignment="1" applyProtection="1">
      <alignment vertical="center" wrapText="1"/>
    </xf>
    <xf numFmtId="175" fontId="1" fillId="4" borderId="1" xfId="3" applyNumberFormat="1" applyFont="1" applyFill="1" applyBorder="1" applyAlignment="1" applyProtection="1">
      <alignment horizontal="center" vertical="center"/>
    </xf>
    <xf numFmtId="175" fontId="6" fillId="5" borderId="1" xfId="3" applyNumberFormat="1" applyFont="1" applyFill="1" applyBorder="1" applyAlignment="1" applyProtection="1">
      <alignment vertical="center" wrapText="1"/>
    </xf>
    <xf numFmtId="175" fontId="1" fillId="5" borderId="1" xfId="3" applyNumberFormat="1" applyFont="1" applyFill="1" applyBorder="1" applyAlignment="1" applyProtection="1">
      <alignment horizontal="center" vertical="center"/>
    </xf>
    <xf numFmtId="175" fontId="6" fillId="0" borderId="1" xfId="3" applyNumberFormat="1" applyFont="1" applyFill="1" applyBorder="1" applyAlignment="1" applyProtection="1">
      <alignment horizontal="center" vertical="center"/>
    </xf>
    <xf numFmtId="175" fontId="6" fillId="0" borderId="1" xfId="3" applyNumberFormat="1" applyFont="1" applyFill="1" applyBorder="1" applyAlignment="1" applyProtection="1">
      <alignment horizontal="center" vertical="center" wrapText="1"/>
    </xf>
    <xf numFmtId="175" fontId="3" fillId="0" borderId="1" xfId="3" applyNumberFormat="1" applyFont="1" applyFill="1" applyBorder="1" applyAlignment="1" applyProtection="1">
      <alignment vertical="center"/>
    </xf>
    <xf numFmtId="175" fontId="1" fillId="0" borderId="1" xfId="3" applyNumberFormat="1" applyFont="1" applyFill="1" applyBorder="1" applyAlignment="1" applyProtection="1">
      <alignment vertical="center"/>
    </xf>
    <xf numFmtId="175" fontId="1" fillId="4" borderId="1" xfId="3" applyNumberFormat="1" applyFont="1" applyFill="1" applyBorder="1" applyAlignment="1" applyProtection="1">
      <alignment vertical="center"/>
    </xf>
    <xf numFmtId="175" fontId="1" fillId="5" borderId="1" xfId="3" applyNumberFormat="1" applyFont="1" applyFill="1" applyBorder="1" applyAlignment="1" applyProtection="1">
      <alignment vertical="center"/>
    </xf>
    <xf numFmtId="175" fontId="1" fillId="0" borderId="0" xfId="3" applyNumberFormat="1" applyFont="1" applyFill="1" applyBorder="1" applyAlignment="1" applyProtection="1">
      <alignment horizontal="center" vertical="center"/>
    </xf>
    <xf numFmtId="175" fontId="1" fillId="0" borderId="0" xfId="3" applyNumberFormat="1" applyFont="1" applyFill="1" applyBorder="1" applyAlignment="1" applyProtection="1">
      <alignment vertical="center"/>
    </xf>
    <xf numFmtId="4" fontId="1" fillId="0" borderId="0" xfId="3" applyNumberFormat="1" applyFont="1" applyFill="1" applyBorder="1" applyAlignment="1" applyProtection="1">
      <alignment vertical="center"/>
    </xf>
    <xf numFmtId="0" fontId="1" fillId="0" borderId="1" xfId="3" applyNumberFormat="1" applyFont="1" applyFill="1" applyBorder="1" applyAlignment="1" applyProtection="1">
      <alignment vertical="center"/>
    </xf>
    <xf numFmtId="10" fontId="1" fillId="0" borderId="1" xfId="3" applyNumberFormat="1" applyFont="1" applyFill="1" applyBorder="1" applyAlignment="1" applyProtection="1">
      <alignment horizontal="center" vertical="center"/>
    </xf>
    <xf numFmtId="4" fontId="1" fillId="0" borderId="1" xfId="3" applyNumberFormat="1" applyFont="1" applyFill="1" applyBorder="1" applyAlignment="1" applyProtection="1">
      <alignment vertical="center"/>
    </xf>
    <xf numFmtId="4" fontId="1" fillId="0" borderId="1" xfId="3" applyNumberFormat="1" applyFont="1" applyFill="1" applyBorder="1" applyAlignment="1" applyProtection="1">
      <alignment horizontal="center" vertical="center"/>
    </xf>
    <xf numFmtId="176" fontId="3" fillId="0" borderId="0" xfId="3" applyNumberFormat="1" applyFont="1" applyFill="1" applyBorder="1" applyAlignment="1" applyProtection="1">
      <alignment horizontal="center" vertical="center"/>
    </xf>
    <xf numFmtId="175" fontId="1" fillId="3" borderId="1" xfId="3" applyNumberFormat="1" applyFont="1" applyFill="1" applyBorder="1" applyAlignment="1" applyProtection="1">
      <alignment horizontal="center" vertical="center"/>
    </xf>
    <xf numFmtId="4" fontId="1" fillId="0" borderId="1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vertical="center"/>
    </xf>
    <xf numFmtId="0" fontId="8" fillId="0" borderId="1" xfId="3" applyNumberFormat="1" applyFont="1" applyFill="1" applyBorder="1" applyAlignment="1" applyProtection="1">
      <alignment horizontal="center" vertical="center"/>
    </xf>
    <xf numFmtId="49" fontId="3" fillId="0" borderId="0" xfId="3" applyNumberFormat="1" applyFont="1" applyFill="1" applyBorder="1" applyAlignment="1" applyProtection="1">
      <alignment horizontal="left" vertical="center"/>
    </xf>
    <xf numFmtId="175" fontId="3" fillId="0" borderId="0" xfId="3" applyNumberFormat="1" applyFont="1" applyFill="1" applyBorder="1" applyAlignment="1" applyProtection="1">
      <alignment horizontal="left" vertical="center"/>
    </xf>
    <xf numFmtId="175" fontId="1" fillId="0" borderId="0" xfId="3" applyNumberFormat="1" applyFont="1" applyFill="1" applyBorder="1" applyAlignment="1" applyProtection="1">
      <alignment horizontal="left" vertical="center"/>
    </xf>
    <xf numFmtId="175" fontId="1" fillId="3" borderId="0" xfId="3" applyNumberFormat="1" applyFont="1" applyFill="1" applyBorder="1" applyAlignment="1" applyProtection="1">
      <alignment horizontal="left" vertical="center"/>
    </xf>
    <xf numFmtId="4" fontId="1" fillId="0" borderId="0" xfId="3" applyNumberFormat="1" applyFont="1" applyFill="1" applyBorder="1" applyAlignment="1" applyProtection="1"/>
    <xf numFmtId="0" fontId="1" fillId="0" borderId="0" xfId="3" applyNumberFormat="1" applyFont="1" applyFill="1" applyBorder="1" applyAlignment="1" applyProtection="1">
      <alignment horizontal="center"/>
    </xf>
    <xf numFmtId="175" fontId="1" fillId="0" borderId="0" xfId="3" applyNumberFormat="1" applyFont="1" applyFill="1" applyBorder="1" applyAlignment="1" applyProtection="1">
      <alignment horizontal="left"/>
    </xf>
    <xf numFmtId="4" fontId="1" fillId="0" borderId="0" xfId="3" applyNumberFormat="1" applyFont="1" applyFill="1" applyBorder="1" applyAlignment="1" applyProtection="1">
      <alignment horizontal="left"/>
    </xf>
    <xf numFmtId="0" fontId="9" fillId="0" borderId="0" xfId="3" applyNumberFormat="1" applyFont="1" applyFill="1" applyBorder="1" applyAlignment="1" applyProtection="1"/>
    <xf numFmtId="0" fontId="6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/>
    <xf numFmtId="4" fontId="6" fillId="0" borderId="0" xfId="3" applyNumberFormat="1" applyFont="1" applyFill="1" applyBorder="1" applyAlignment="1" applyProtection="1">
      <alignment horizontal="right"/>
    </xf>
    <xf numFmtId="4" fontId="11" fillId="0" borderId="0" xfId="3" applyNumberFormat="1" applyFont="1" applyFill="1" applyBorder="1" applyAlignment="1" applyProtection="1">
      <alignment horizontal="right"/>
    </xf>
    <xf numFmtId="4" fontId="5" fillId="0" borderId="0" xfId="3" applyNumberFormat="1" applyFont="1" applyFill="1" applyBorder="1" applyAlignment="1" applyProtection="1">
      <alignment horizontal="right"/>
    </xf>
    <xf numFmtId="4" fontId="10" fillId="0" borderId="0" xfId="3" applyNumberFormat="1" applyFont="1" applyFill="1" applyBorder="1" applyAlignment="1" applyProtection="1">
      <alignment horizontal="right"/>
    </xf>
    <xf numFmtId="49" fontId="6" fillId="0" borderId="0" xfId="3" applyNumberFormat="1" applyFont="1" applyFill="1" applyBorder="1" applyAlignment="1" applyProtection="1"/>
    <xf numFmtId="0" fontId="6" fillId="0" borderId="0" xfId="3" applyNumberFormat="1" applyFont="1" applyFill="1" applyBorder="1" applyAlignment="1" applyProtection="1">
      <alignment wrapText="1"/>
    </xf>
    <xf numFmtId="4" fontId="6" fillId="0" borderId="0" xfId="3" applyNumberFormat="1" applyFont="1" applyFill="1" applyBorder="1" applyAlignment="1" applyProtection="1"/>
    <xf numFmtId="49" fontId="9" fillId="0" borderId="0" xfId="3" applyNumberFormat="1" applyFont="1" applyFill="1" applyBorder="1" applyAlignment="1" applyProtection="1"/>
    <xf numFmtId="0" fontId="9" fillId="0" borderId="0" xfId="3" applyNumberFormat="1" applyFont="1" applyFill="1" applyBorder="1" applyAlignment="1" applyProtection="1">
      <alignment wrapText="1"/>
    </xf>
    <xf numFmtId="4" fontId="9" fillId="0" borderId="0" xfId="3" applyNumberFormat="1" applyFont="1" applyFill="1" applyBorder="1" applyAlignment="1" applyProtection="1"/>
    <xf numFmtId="175" fontId="9" fillId="0" borderId="0" xfId="3" applyNumberFormat="1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5" borderId="1" xfId="3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/>
    </xf>
    <xf numFmtId="49" fontId="5" fillId="0" borderId="11" xfId="3" applyNumberFormat="1" applyFont="1" applyFill="1" applyBorder="1" applyAlignment="1" applyProtection="1">
      <alignment horizontal="center" vertical="center"/>
    </xf>
    <xf numFmtId="4" fontId="5" fillId="0" borderId="1" xfId="3" applyNumberFormat="1" applyFont="1" applyFill="1" applyBorder="1" applyAlignment="1" applyProtection="1">
      <alignment vertical="center" wrapText="1"/>
    </xf>
    <xf numFmtId="4" fontId="5" fillId="3" borderId="1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6" fillId="0" borderId="11" xfId="3" applyNumberFormat="1" applyFont="1" applyFill="1" applyBorder="1" applyAlignment="1" applyProtection="1">
      <alignment horizontal="center" vertical="center"/>
    </xf>
    <xf numFmtId="175" fontId="6" fillId="3" borderId="1" xfId="1" applyNumberFormat="1" applyFont="1" applyFill="1" applyBorder="1" applyAlignment="1" applyProtection="1">
      <alignment horizontal="center" vertical="center"/>
    </xf>
    <xf numFmtId="164" fontId="6" fillId="0" borderId="1" xfId="1" applyFont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4" fontId="6" fillId="0" borderId="1" xfId="3" applyNumberFormat="1" applyFont="1" applyFill="1" applyBorder="1" applyAlignment="1" applyProtection="1">
      <alignment horizontal="center" vertical="center"/>
    </xf>
    <xf numFmtId="4" fontId="6" fillId="0" borderId="11" xfId="3" applyNumberFormat="1" applyFont="1" applyFill="1" applyBorder="1" applyAlignment="1" applyProtection="1">
      <alignment horizontal="center" vertical="center"/>
    </xf>
    <xf numFmtId="175" fontId="6" fillId="3" borderId="11" xfId="3" applyNumberFormat="1" applyFont="1" applyFill="1" applyBorder="1" applyAlignment="1" applyProtection="1">
      <alignment horizontal="center" vertical="center"/>
    </xf>
    <xf numFmtId="0" fontId="6" fillId="6" borderId="1" xfId="3" applyNumberFormat="1" applyFont="1" applyFill="1" applyBorder="1" applyAlignment="1" applyProtection="1">
      <alignment horizontal="left" vertical="center" wrapText="1"/>
    </xf>
    <xf numFmtId="49" fontId="6" fillId="5" borderId="1" xfId="3" applyNumberFormat="1" applyFont="1" applyFill="1" applyBorder="1" applyAlignment="1" applyProtection="1">
      <alignment horizontal="center" vertical="center"/>
    </xf>
    <xf numFmtId="0" fontId="6" fillId="5" borderId="1" xfId="3" applyNumberFormat="1" applyFont="1" applyFill="1" applyBorder="1" applyAlignment="1" applyProtection="1">
      <alignment horizontal="right" vertical="center" wrapText="1"/>
    </xf>
    <xf numFmtId="0" fontId="6" fillId="5" borderId="11" xfId="3" applyNumberFormat="1" applyFont="1" applyFill="1" applyBorder="1" applyAlignment="1" applyProtection="1">
      <alignment horizontal="center" vertical="center"/>
    </xf>
    <xf numFmtId="4" fontId="6" fillId="5" borderId="11" xfId="3" applyNumberFormat="1" applyFont="1" applyFill="1" applyBorder="1" applyAlignment="1" applyProtection="1">
      <alignment horizontal="center" vertical="center"/>
    </xf>
    <xf numFmtId="175" fontId="6" fillId="5" borderId="11" xfId="3" applyNumberFormat="1" applyFont="1" applyFill="1" applyBorder="1" applyAlignment="1" applyProtection="1">
      <alignment horizontal="center" vertical="center"/>
    </xf>
    <xf numFmtId="164" fontId="6" fillId="5" borderId="1" xfId="1" applyFont="1" applyFill="1" applyBorder="1" applyAlignment="1" applyProtection="1">
      <alignment horizontal="center" vertical="center"/>
    </xf>
    <xf numFmtId="49" fontId="5" fillId="0" borderId="12" xfId="3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 applyProtection="1">
      <alignment horizontal="left" vertical="center" wrapText="1"/>
    </xf>
    <xf numFmtId="0" fontId="6" fillId="0" borderId="13" xfId="3" applyNumberFormat="1" applyFont="1" applyFill="1" applyBorder="1" applyAlignment="1" applyProtection="1">
      <alignment horizontal="center" vertical="center"/>
    </xf>
    <xf numFmtId="4" fontId="6" fillId="0" borderId="13" xfId="3" applyNumberFormat="1" applyFont="1" applyFill="1" applyBorder="1" applyAlignment="1" applyProtection="1">
      <alignment horizontal="center" vertical="center"/>
    </xf>
    <xf numFmtId="175" fontId="6" fillId="3" borderId="13" xfId="3" applyNumberFormat="1" applyFont="1" applyFill="1" applyBorder="1" applyAlignment="1" applyProtection="1">
      <alignment horizontal="center" vertical="center"/>
    </xf>
    <xf numFmtId="164" fontId="6" fillId="0" borderId="12" xfId="1" applyFont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justify" vertical="center" wrapText="1"/>
    </xf>
    <xf numFmtId="164" fontId="6" fillId="0" borderId="0" xfId="3" applyNumberFormat="1" applyFont="1" applyFill="1" applyBorder="1" applyAlignment="1" applyProtection="1"/>
    <xf numFmtId="0" fontId="6" fillId="0" borderId="0" xfId="3" applyNumberFormat="1" applyFont="1" applyFill="1" applyBorder="1" applyAlignment="1" applyProtection="1">
      <alignment horizontal="left" vertical="center"/>
    </xf>
    <xf numFmtId="4" fontId="6" fillId="0" borderId="0" xfId="3" applyNumberFormat="1" applyFont="1" applyFill="1" applyBorder="1" applyAlignment="1" applyProtection="1">
      <alignment horizontal="left" vertical="center"/>
    </xf>
    <xf numFmtId="4" fontId="6" fillId="0" borderId="0" xfId="3" applyNumberFormat="1" applyFont="1" applyFill="1" applyBorder="1" applyAlignment="1" applyProtection="1">
      <alignment horizontal="center" vertical="center"/>
    </xf>
    <xf numFmtId="175" fontId="9" fillId="0" borderId="0" xfId="3" applyNumberFormat="1" applyFont="1" applyFill="1" applyBorder="1" applyAlignment="1" applyProtection="1"/>
    <xf numFmtId="0" fontId="13" fillId="0" borderId="0" xfId="0" applyFont="1" applyAlignment="1">
      <alignment wrapText="1"/>
    </xf>
    <xf numFmtId="0" fontId="5" fillId="0" borderId="1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175" fontId="6" fillId="0" borderId="0" xfId="3" applyNumberFormat="1" applyFont="1" applyFill="1" applyBorder="1" applyAlignment="1" applyProtection="1"/>
    <xf numFmtId="175" fontId="13" fillId="0" borderId="0" xfId="0" applyNumberFormat="1" applyFont="1" applyAlignment="1">
      <alignment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wrapText="1"/>
    </xf>
    <xf numFmtId="178" fontId="6" fillId="0" borderId="0" xfId="3" applyNumberFormat="1" applyFont="1" applyFill="1" applyBorder="1" applyAlignment="1" applyProtection="1"/>
    <xf numFmtId="175" fontId="14" fillId="0" borderId="0" xfId="0" applyNumberFormat="1" applyFont="1" applyAlignment="1">
      <alignment horizontal="left" wrapText="1"/>
    </xf>
    <xf numFmtId="178" fontId="13" fillId="0" borderId="0" xfId="0" applyNumberFormat="1" applyFont="1" applyAlignment="1">
      <alignment wrapText="1"/>
    </xf>
    <xf numFmtId="0" fontId="5" fillId="0" borderId="14" xfId="3" applyNumberFormat="1" applyFont="1" applyFill="1" applyBorder="1" applyAlignment="1" applyProtection="1">
      <alignment horizontal="center"/>
    </xf>
    <xf numFmtId="175" fontId="6" fillId="3" borderId="11" xfId="1" applyNumberFormat="1" applyFont="1" applyFill="1" applyBorder="1" applyAlignment="1" applyProtection="1">
      <alignment horizontal="center" vertical="center"/>
    </xf>
    <xf numFmtId="164" fontId="9" fillId="0" borderId="0" xfId="3" applyNumberFormat="1" applyFont="1" applyFill="1" applyBorder="1" applyAlignment="1" applyProtection="1"/>
    <xf numFmtId="0" fontId="11" fillId="0" borderId="0" xfId="3" applyNumberFormat="1" applyFont="1" applyFill="1" applyBorder="1" applyAlignment="1" applyProtection="1"/>
    <xf numFmtId="168" fontId="6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>
      <alignment wrapText="1"/>
    </xf>
    <xf numFmtId="0" fontId="15" fillId="0" borderId="0" xfId="3" applyNumberFormat="1" applyFont="1" applyFill="1" applyBorder="1" applyAlignment="1" applyProtection="1"/>
    <xf numFmtId="4" fontId="15" fillId="0" borderId="0" xfId="3" applyNumberFormat="1" applyFont="1" applyFill="1" applyBorder="1" applyAlignment="1" applyProtection="1"/>
    <xf numFmtId="4" fontId="15" fillId="0" borderId="0" xfId="3" applyNumberFormat="1" applyFont="1" applyFill="1" applyBorder="1" applyAlignment="1" applyProtection="1">
      <alignment horizontal="left"/>
    </xf>
    <xf numFmtId="2" fontId="15" fillId="0" borderId="0" xfId="3" applyNumberFormat="1" applyFont="1" applyFill="1" applyBorder="1" applyAlignment="1" applyProtection="1"/>
    <xf numFmtId="0" fontId="6" fillId="0" borderId="0" xfId="3" applyNumberFormat="1" applyFont="1" applyFill="1" applyBorder="1" applyAlignment="1" applyProtection="1">
      <alignment horizontal="center"/>
    </xf>
    <xf numFmtId="175" fontId="6" fillId="5" borderId="0" xfId="3" applyNumberFormat="1" applyFont="1" applyFill="1" applyBorder="1" applyAlignment="1" applyProtection="1"/>
    <xf numFmtId="4" fontId="6" fillId="0" borderId="0" xfId="3" applyNumberFormat="1" applyFont="1" applyFill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175" fontId="6" fillId="3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/>
    <xf numFmtId="0" fontId="6" fillId="0" borderId="1" xfId="3" applyNumberFormat="1" applyFont="1" applyFill="1" applyBorder="1" applyAlignment="1" applyProtection="1">
      <alignment wrapText="1"/>
    </xf>
    <xf numFmtId="0" fontId="6" fillId="0" borderId="1" xfId="3" applyNumberFormat="1" applyFont="1" applyFill="1" applyBorder="1" applyAlignment="1" applyProtection="1"/>
    <xf numFmtId="4" fontId="6" fillId="0" borderId="1" xfId="3" applyNumberFormat="1" applyFont="1" applyFill="1" applyBorder="1" applyAlignment="1" applyProtection="1"/>
    <xf numFmtId="164" fontId="6" fillId="0" borderId="1" xfId="3" applyNumberFormat="1" applyFont="1" applyFill="1" applyBorder="1" applyAlignment="1" applyProtection="1"/>
    <xf numFmtId="49" fontId="10" fillId="2" borderId="1" xfId="3" applyNumberFormat="1" applyFont="1" applyFill="1" applyBorder="1" applyAlignment="1" applyProtection="1"/>
    <xf numFmtId="0" fontId="10" fillId="2" borderId="1" xfId="3" applyNumberFormat="1" applyFont="1" applyFill="1" applyBorder="1" applyAlignment="1" applyProtection="1">
      <alignment wrapText="1"/>
    </xf>
    <xf numFmtId="0" fontId="10" fillId="2" borderId="1" xfId="3" applyNumberFormat="1" applyFont="1" applyFill="1" applyBorder="1" applyAlignment="1" applyProtection="1">
      <alignment horizontal="center"/>
    </xf>
    <xf numFmtId="4" fontId="10" fillId="2" borderId="1" xfId="3" applyNumberFormat="1" applyFont="1" applyFill="1" applyBorder="1" applyAlignment="1" applyProtection="1"/>
    <xf numFmtId="49" fontId="5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>
      <alignment wrapText="1"/>
    </xf>
    <xf numFmtId="0" fontId="5" fillId="0" borderId="1" xfId="3" applyNumberFormat="1" applyFont="1" applyFill="1" applyBorder="1" applyAlignment="1" applyProtection="1"/>
    <xf numFmtId="4" fontId="5" fillId="0" borderId="1" xfId="3" applyNumberFormat="1" applyFont="1" applyFill="1" applyBorder="1" applyAlignment="1" applyProtection="1">
      <alignment horizontal="center"/>
    </xf>
    <xf numFmtId="4" fontId="16" fillId="0" borderId="1" xfId="3" applyNumberFormat="1" applyFont="1" applyFill="1" applyBorder="1" applyAlignment="1" applyProtection="1">
      <alignment horizontal="center"/>
    </xf>
    <xf numFmtId="175" fontId="5" fillId="0" borderId="1" xfId="3" applyNumberFormat="1" applyFont="1" applyFill="1" applyBorder="1" applyAlignment="1" applyProtection="1"/>
    <xf numFmtId="4" fontId="6" fillId="0" borderId="0" xfId="3" applyNumberFormat="1" applyFont="1" applyFill="1" applyBorder="1" applyAlignment="1" applyProtection="1">
      <alignment horizontal="left" wrapText="1"/>
    </xf>
    <xf numFmtId="4" fontId="11" fillId="0" borderId="0" xfId="3" applyNumberFormat="1" applyFont="1" applyFill="1" applyBorder="1" applyAlignment="1" applyProtection="1">
      <alignment horizontal="left" wrapText="1"/>
    </xf>
    <xf numFmtId="4" fontId="11" fillId="0" borderId="0" xfId="3" applyNumberFormat="1" applyFont="1" applyFill="1" applyBorder="1" applyAlignment="1" applyProtection="1">
      <alignment horizontal="center"/>
    </xf>
    <xf numFmtId="4" fontId="5" fillId="0" borderId="1" xfId="3" applyNumberFormat="1" applyFont="1" applyFill="1" applyBorder="1" applyAlignment="1" applyProtection="1">
      <alignment horizontal="right"/>
    </xf>
    <xf numFmtId="4" fontId="5" fillId="0" borderId="1" xfId="3" applyNumberFormat="1" applyFont="1" applyFill="1" applyBorder="1" applyAlignment="1" applyProtection="1">
      <alignment horizontal="left" wrapText="1"/>
    </xf>
    <xf numFmtId="4" fontId="10" fillId="0" borderId="1" xfId="3" applyNumberFormat="1" applyFont="1" applyFill="1" applyBorder="1" applyAlignment="1" applyProtection="1">
      <alignment horizontal="right"/>
    </xf>
    <xf numFmtId="4" fontId="10" fillId="0" borderId="1" xfId="3" applyNumberFormat="1" applyFont="1" applyFill="1" applyBorder="1" applyAlignment="1" applyProtection="1">
      <alignment horizontal="left" wrapText="1"/>
    </xf>
    <xf numFmtId="4" fontId="10" fillId="0" borderId="1" xfId="3" applyNumberFormat="1" applyFont="1" applyFill="1" applyBorder="1" applyAlignment="1" applyProtection="1">
      <alignment horizontal="center"/>
    </xf>
    <xf numFmtId="49" fontId="5" fillId="0" borderId="0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 vertical="center"/>
    </xf>
    <xf numFmtId="175" fontId="6" fillId="0" borderId="0" xfId="3" applyNumberFormat="1" applyFont="1" applyFill="1" applyBorder="1" applyAlignment="1" applyProtection="1">
      <alignment horizontal="center" vertical="center"/>
    </xf>
    <xf numFmtId="164" fontId="6" fillId="0" borderId="0" xfId="1" applyFont="1" applyBorder="1" applyAlignment="1" applyProtection="1">
      <alignment horizontal="center" vertical="center"/>
    </xf>
    <xf numFmtId="49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left" vertical="center" wrapText="1"/>
    </xf>
    <xf numFmtId="0" fontId="6" fillId="0" borderId="2" xfId="3" applyNumberFormat="1" applyFont="1" applyFill="1" applyBorder="1" applyAlignment="1" applyProtection="1">
      <alignment wrapText="1"/>
    </xf>
    <xf numFmtId="0" fontId="6" fillId="0" borderId="15" xfId="3" applyNumberFormat="1" applyFont="1" applyFill="1" applyBorder="1" applyAlignment="1" applyProtection="1">
      <alignment horizontal="right" wrapText="1"/>
    </xf>
    <xf numFmtId="0" fontId="6" fillId="0" borderId="12" xfId="3" applyNumberFormat="1" applyFont="1" applyFill="1" applyBorder="1" applyAlignment="1" applyProtection="1">
      <alignment horizontal="right" wrapText="1"/>
    </xf>
    <xf numFmtId="4" fontId="10" fillId="4" borderId="1" xfId="3" applyNumberFormat="1" applyFont="1" applyFill="1" applyBorder="1" applyAlignment="1" applyProtection="1">
      <alignment horizontal="center"/>
    </xf>
    <xf numFmtId="175" fontId="6" fillId="0" borderId="0" xfId="3" applyNumberFormat="1" applyFont="1" applyFill="1" applyBorder="1" applyAlignment="1" applyProtection="1">
      <alignment horizontal="center"/>
    </xf>
    <xf numFmtId="175" fontId="6" fillId="0" borderId="0" xfId="1" applyNumberFormat="1" applyFont="1" applyBorder="1" applyAlignment="1" applyProtection="1">
      <alignment horizontal="center" vertical="center"/>
    </xf>
    <xf numFmtId="175" fontId="6" fillId="0" borderId="1" xfId="1" applyNumberFormat="1" applyFont="1" applyBorder="1" applyAlignment="1" applyProtection="1">
      <alignment horizontal="center" vertical="center"/>
    </xf>
    <xf numFmtId="164" fontId="6" fillId="0" borderId="2" xfId="1" applyFont="1" applyBorder="1" applyAlignment="1" applyProtection="1">
      <alignment horizontal="center" vertical="center"/>
    </xf>
    <xf numFmtId="175" fontId="6" fillId="0" borderId="12" xfId="3" applyNumberFormat="1" applyFont="1" applyFill="1" applyBorder="1" applyAlignment="1" applyProtection="1"/>
    <xf numFmtId="175" fontId="6" fillId="0" borderId="16" xfId="3" applyNumberFormat="1" applyFont="1" applyFill="1" applyBorder="1" applyAlignment="1" applyProtection="1"/>
    <xf numFmtId="175" fontId="6" fillId="0" borderId="1" xfId="3" applyNumberFormat="1" applyFont="1" applyFill="1" applyBorder="1" applyAlignment="1" applyProtection="1"/>
    <xf numFmtId="175" fontId="6" fillId="0" borderId="17" xfId="3" applyNumberFormat="1" applyFont="1" applyFill="1" applyBorder="1" applyAlignment="1" applyProtection="1"/>
    <xf numFmtId="175" fontId="6" fillId="0" borderId="18" xfId="3" applyNumberFormat="1" applyFont="1" applyFill="1" applyBorder="1" applyAlignment="1" applyProtection="1"/>
    <xf numFmtId="171" fontId="6" fillId="0" borderId="2" xfId="3" applyNumberFormat="1" applyFont="1" applyFill="1" applyBorder="1" applyAlignment="1" applyProtection="1"/>
    <xf numFmtId="171" fontId="6" fillId="0" borderId="18" xfId="3" applyNumberFormat="1" applyFont="1" applyFill="1" applyBorder="1" applyAlignment="1" applyProtection="1"/>
    <xf numFmtId="171" fontId="6" fillId="0" borderId="19" xfId="3" applyNumberFormat="1" applyFont="1" applyFill="1" applyBorder="1" applyAlignment="1" applyProtection="1"/>
    <xf numFmtId="171" fontId="6" fillId="0" borderId="15" xfId="3" applyNumberFormat="1" applyFont="1" applyFill="1" applyBorder="1" applyAlignment="1" applyProtection="1"/>
    <xf numFmtId="171" fontId="6" fillId="0" borderId="20" xfId="3" applyNumberFormat="1" applyFont="1" applyFill="1" applyBorder="1" applyAlignment="1" applyProtection="1"/>
    <xf numFmtId="171" fontId="6" fillId="0" borderId="0" xfId="3" applyNumberFormat="1" applyFont="1" applyFill="1" applyBorder="1" applyAlignment="1" applyProtection="1"/>
    <xf numFmtId="171" fontId="6" fillId="0" borderId="12" xfId="3" applyNumberFormat="1" applyFont="1" applyFill="1" applyBorder="1" applyAlignment="1" applyProtection="1"/>
    <xf numFmtId="171" fontId="6" fillId="0" borderId="16" xfId="3" applyNumberFormat="1" applyFont="1" applyFill="1" applyBorder="1" applyAlignment="1" applyProtection="1"/>
    <xf numFmtId="171" fontId="6" fillId="0" borderId="21" xfId="3" applyNumberFormat="1" applyFont="1" applyFill="1" applyBorder="1" applyAlignment="1" applyProtection="1"/>
    <xf numFmtId="2" fontId="6" fillId="0" borderId="0" xfId="3" applyNumberFormat="1" applyFont="1" applyFill="1" applyBorder="1" applyAlignment="1" applyProtection="1"/>
    <xf numFmtId="179" fontId="6" fillId="0" borderId="0" xfId="3" applyNumberFormat="1" applyFont="1" applyFill="1" applyBorder="1" applyAlignment="1" applyProtection="1"/>
    <xf numFmtId="172" fontId="6" fillId="0" borderId="1" xfId="2" applyNumberFormat="1" applyFont="1" applyBorder="1" applyAlignment="1" applyProtection="1">
      <alignment horizontal="center" vertical="center"/>
    </xf>
    <xf numFmtId="172" fontId="17" fillId="2" borderId="1" xfId="2" applyNumberFormat="1" applyFont="1" applyFill="1" applyBorder="1" applyAlignment="1" applyProtection="1">
      <alignment horizontal="center" vertical="center"/>
    </xf>
    <xf numFmtId="172" fontId="6" fillId="2" borderId="1" xfId="2" applyNumberFormat="1" applyFont="1" applyFill="1" applyBorder="1" applyAlignment="1" applyProtection="1">
      <alignment horizontal="center" vertical="center"/>
    </xf>
    <xf numFmtId="172" fontId="6" fillId="0" borderId="0" xfId="3" applyNumberFormat="1" applyFont="1" applyFill="1" applyBorder="1" applyAlignment="1" applyProtection="1">
      <alignment horizontal="center"/>
    </xf>
    <xf numFmtId="4" fontId="8" fillId="0" borderId="1" xfId="3" applyNumberFormat="1" applyFont="1" applyFill="1" applyBorder="1" applyAlignment="1" applyProtection="1">
      <alignment horizontal="center"/>
    </xf>
    <xf numFmtId="4" fontId="18" fillId="0" borderId="1" xfId="3" applyNumberFormat="1" applyFont="1" applyFill="1" applyBorder="1" applyAlignment="1" applyProtection="1">
      <alignment horizontal="center"/>
    </xf>
    <xf numFmtId="175" fontId="6" fillId="0" borderId="11" xfId="3" applyNumberFormat="1" applyFont="1" applyFill="1" applyBorder="1" applyAlignment="1" applyProtection="1">
      <alignment horizontal="center" vertical="center"/>
    </xf>
    <xf numFmtId="181" fontId="11" fillId="0" borderId="0" xfId="3" applyNumberFormat="1" applyFont="1" applyFill="1" applyBorder="1" applyAlignment="1" applyProtection="1">
      <alignment horizontal="center"/>
    </xf>
    <xf numFmtId="180" fontId="6" fillId="0" borderId="0" xfId="3" applyNumberFormat="1" applyFont="1" applyFill="1" applyBorder="1" applyAlignment="1" applyProtection="1"/>
    <xf numFmtId="0" fontId="19" fillId="0" borderId="0" xfId="0" applyFont="1"/>
    <xf numFmtId="0" fontId="19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/>
    <xf numFmtId="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18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top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4" fontId="19" fillId="0" borderId="0" xfId="0" applyNumberFormat="1" applyFont="1"/>
    <xf numFmtId="9" fontId="19" fillId="0" borderId="0" xfId="0" applyNumberFormat="1" applyFont="1" applyAlignment="1">
      <alignment wrapText="1"/>
    </xf>
    <xf numFmtId="164" fontId="3" fillId="0" borderId="1" xfId="3" applyNumberFormat="1" applyFont="1" applyFill="1" applyBorder="1" applyAlignment="1" applyProtection="1">
      <alignment vertical="center" wrapText="1"/>
    </xf>
    <xf numFmtId="164" fontId="3" fillId="0" borderId="1" xfId="3" applyNumberFormat="1" applyFont="1" applyFill="1" applyBorder="1" applyAlignment="1" applyProtection="1">
      <alignment horizontal="center" vertical="center"/>
    </xf>
    <xf numFmtId="164" fontId="1" fillId="0" borderId="1" xfId="3" applyNumberFormat="1" applyFont="1" applyFill="1" applyBorder="1" applyAlignment="1" applyProtection="1">
      <alignment vertical="center" wrapText="1"/>
    </xf>
    <xf numFmtId="164" fontId="1" fillId="0" borderId="1" xfId="3" applyNumberFormat="1" applyFont="1" applyFill="1" applyBorder="1" applyAlignment="1" applyProtection="1">
      <alignment horizontal="center" vertical="center"/>
    </xf>
    <xf numFmtId="2" fontId="1" fillId="0" borderId="1" xfId="3" applyNumberFormat="1" applyFont="1" applyFill="1" applyBorder="1" applyAlignment="1" applyProtection="1">
      <alignment vertical="center" wrapText="1"/>
    </xf>
    <xf numFmtId="164" fontId="3" fillId="0" borderId="1" xfId="3" applyNumberFormat="1" applyFont="1" applyFill="1" applyBorder="1" applyAlignment="1" applyProtection="1">
      <alignment vertical="center"/>
    </xf>
    <xf numFmtId="164" fontId="1" fillId="0" borderId="1" xfId="3" applyNumberFormat="1" applyFont="1" applyFill="1" applyBorder="1" applyAlignment="1" applyProtection="1">
      <alignment vertical="center"/>
    </xf>
    <xf numFmtId="184" fontId="1" fillId="0" borderId="0" xfId="0" applyNumberFormat="1" applyFont="1"/>
    <xf numFmtId="0" fontId="1" fillId="0" borderId="0" xfId="0" applyFont="1" applyAlignment="1">
      <alignment horizontal="left" wrapText="1"/>
    </xf>
    <xf numFmtId="164" fontId="1" fillId="0" borderId="0" xfId="3" applyNumberFormat="1" applyFont="1" applyFill="1" applyBorder="1" applyAlignment="1" applyProtection="1"/>
    <xf numFmtId="164" fontId="6" fillId="0" borderId="14" xfId="1" applyFont="1" applyBorder="1" applyAlignment="1" applyProtection="1">
      <alignment horizontal="center" vertical="center" wrapText="1"/>
    </xf>
    <xf numFmtId="164" fontId="6" fillId="0" borderId="14" xfId="1" applyFont="1" applyBorder="1" applyAlignment="1" applyProtection="1">
      <alignment horizontal="center" vertical="center"/>
    </xf>
    <xf numFmtId="164" fontId="6" fillId="0" borderId="11" xfId="1" applyFont="1" applyBorder="1" applyAlignment="1" applyProtection="1">
      <alignment horizontal="center" vertical="center"/>
    </xf>
    <xf numFmtId="0" fontId="25" fillId="0" borderId="0" xfId="3" applyNumberFormat="1" applyFont="1" applyFill="1" applyBorder="1" applyAlignment="1" applyProtection="1"/>
    <xf numFmtId="0" fontId="5" fillId="0" borderId="11" xfId="3" applyNumberFormat="1" applyFont="1" applyFill="1" applyBorder="1" applyAlignment="1" applyProtection="1">
      <alignment horizontal="center" vertical="center"/>
    </xf>
    <xf numFmtId="164" fontId="6" fillId="0" borderId="13" xfId="1" applyFont="1" applyBorder="1" applyAlignment="1" applyProtection="1">
      <alignment horizontal="center" vertical="center"/>
    </xf>
    <xf numFmtId="177" fontId="6" fillId="0" borderId="0" xfId="3" applyNumberFormat="1" applyFont="1" applyFill="1" applyBorder="1" applyAlignment="1" applyProtection="1"/>
    <xf numFmtId="164" fontId="6" fillId="0" borderId="17" xfId="1" applyFont="1" applyBorder="1" applyAlignment="1" applyProtection="1">
      <alignment horizontal="center" vertical="center"/>
    </xf>
    <xf numFmtId="164" fontId="6" fillId="0" borderId="1" xfId="1" applyFont="1" applyBorder="1" applyAlignment="1" applyProtection="1">
      <alignment horizontal="right" vertical="center"/>
    </xf>
    <xf numFmtId="10" fontId="6" fillId="0" borderId="1" xfId="1" applyNumberFormat="1" applyFont="1" applyBorder="1" applyAlignment="1" applyProtection="1">
      <alignment horizontal="center" vertical="center"/>
    </xf>
    <xf numFmtId="10" fontId="6" fillId="0" borderId="11" xfId="2" applyNumberFormat="1" applyFont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49" fontId="1" fillId="0" borderId="0" xfId="0" applyNumberFormat="1" applyFont="1"/>
    <xf numFmtId="0" fontId="10" fillId="0" borderId="1" xfId="3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5" fillId="0" borderId="1" xfId="3" applyNumberFormat="1" applyFont="1" applyFill="1" applyBorder="1" applyAlignment="1" applyProtection="1">
      <alignment horizontal="center" vertical="center"/>
      <protection hidden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84" fontId="10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84" fontId="5" fillId="0" borderId="1" xfId="1" applyNumberFormat="1" applyFont="1" applyBorder="1" applyAlignment="1" applyProtection="1">
      <alignment horizontal="center" vertical="center"/>
      <protection hidden="1"/>
    </xf>
    <xf numFmtId="170" fontId="5" fillId="0" borderId="1" xfId="1" applyNumberFormat="1" applyFont="1" applyBorder="1" applyAlignment="1" applyProtection="1">
      <alignment horizontal="center" vertical="center"/>
      <protection hidden="1"/>
    </xf>
    <xf numFmtId="9" fontId="5" fillId="0" borderId="1" xfId="2" applyFont="1" applyBorder="1" applyAlignment="1" applyProtection="1">
      <alignment horizontal="center" vertical="center"/>
      <protection hidden="1"/>
    </xf>
    <xf numFmtId="164" fontId="5" fillId="0" borderId="1" xfId="1" applyFont="1" applyBorder="1" applyAlignment="1" applyProtection="1">
      <alignment horizontal="left" vertical="center" wrapText="1"/>
      <protection hidden="1"/>
    </xf>
    <xf numFmtId="0" fontId="6" fillId="0" borderId="1" xfId="3" applyNumberFormat="1" applyFont="1" applyFill="1" applyBorder="1" applyAlignment="1" applyProtection="1">
      <alignment horizontal="left" vertical="center" wrapText="1" indent="4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184" fontId="6" fillId="0" borderId="1" xfId="1" applyNumberFormat="1" applyFont="1" applyBorder="1" applyAlignment="1" applyProtection="1">
      <alignment horizontal="center" vertical="center"/>
    </xf>
    <xf numFmtId="170" fontId="6" fillId="0" borderId="1" xfId="1" applyNumberFormat="1" applyFont="1" applyBorder="1" applyAlignment="1" applyProtection="1">
      <alignment horizontal="center" vertical="center"/>
      <protection hidden="1"/>
    </xf>
    <xf numFmtId="9" fontId="6" fillId="0" borderId="1" xfId="2" applyFont="1" applyBorder="1" applyAlignment="1" applyProtection="1">
      <alignment horizontal="center" vertical="center"/>
      <protection hidden="1"/>
    </xf>
    <xf numFmtId="164" fontId="6" fillId="0" borderId="1" xfId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left" vertical="top" wrapText="1"/>
      <protection hidden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1" xfId="0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left" vertical="top" wrapText="1"/>
    </xf>
    <xf numFmtId="2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1" xfId="1" applyNumberFormat="1" applyFont="1" applyBorder="1" applyAlignment="1" applyProtection="1">
      <alignment vertical="center" wrapText="1"/>
      <protection hidden="1"/>
    </xf>
    <xf numFmtId="1" fontId="5" fillId="0" borderId="1" xfId="2" applyNumberFormat="1" applyFont="1" applyBorder="1" applyAlignment="1" applyProtection="1">
      <alignment horizontal="center" vertical="center"/>
      <protection hidden="1"/>
    </xf>
    <xf numFmtId="184" fontId="6" fillId="0" borderId="1" xfId="3" applyNumberFormat="1" applyFont="1" applyFill="1" applyBorder="1" applyAlignment="1" applyProtection="1">
      <alignment horizontal="center" vertical="center"/>
      <protection hidden="1"/>
    </xf>
    <xf numFmtId="4" fontId="6" fillId="0" borderId="1" xfId="3" applyNumberFormat="1" applyFont="1" applyFill="1" applyBorder="1" applyAlignment="1" applyProtection="1">
      <alignment horizontal="left" vertical="center" wrapText="1"/>
      <protection hidden="1"/>
    </xf>
    <xf numFmtId="182" fontId="6" fillId="0" borderId="1" xfId="3" applyNumberFormat="1" applyFont="1" applyFill="1" applyBorder="1" applyAlignment="1" applyProtection="1">
      <alignment horizontal="center" vertical="center"/>
      <protection hidden="1"/>
    </xf>
    <xf numFmtId="184" fontId="6" fillId="0" borderId="1" xfId="1" applyNumberFormat="1" applyFont="1" applyBorder="1" applyAlignment="1" applyProtection="1">
      <alignment horizontal="center" vertical="center"/>
      <protection hidden="1"/>
    </xf>
    <xf numFmtId="164" fontId="6" fillId="0" borderId="1" xfId="1" applyFont="1" applyBorder="1" applyAlignment="1" applyProtection="1">
      <alignment horizontal="left" vertical="center" wrapText="1"/>
      <protection hidden="1"/>
    </xf>
    <xf numFmtId="0" fontId="6" fillId="0" borderId="1" xfId="1" applyNumberFormat="1" applyFont="1" applyBorder="1" applyAlignment="1" applyProtection="1">
      <alignment horizontal="left" vertical="center" wrapText="1"/>
      <protection hidden="1"/>
    </xf>
    <xf numFmtId="49" fontId="6" fillId="0" borderId="1" xfId="3" applyNumberFormat="1" applyFont="1" applyFill="1" applyBorder="1" applyAlignment="1" applyProtection="1">
      <alignment horizontal="center" vertical="center"/>
      <protection hidden="1"/>
    </xf>
    <xf numFmtId="0" fontId="6" fillId="0" borderId="1" xfId="3" applyNumberFormat="1" applyFont="1" applyFill="1" applyBorder="1" applyAlignment="1" applyProtection="1">
      <alignment horizontal="left" vertical="center" wrapText="1" indent="3"/>
      <protection hidden="1"/>
    </xf>
    <xf numFmtId="184" fontId="6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1" applyFont="1" applyBorder="1" applyAlignment="1" applyProtection="1">
      <alignment horizontal="left" vertical="center" wrapText="1"/>
      <protection locked="0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84" fontId="6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166" fontId="6" fillId="0" borderId="1" xfId="2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/>
      <protection hidden="1"/>
    </xf>
    <xf numFmtId="10" fontId="6" fillId="0" borderId="1" xfId="2" applyNumberFormat="1" applyFont="1" applyBorder="1" applyAlignment="1" applyProtection="1">
      <alignment horizontal="left" vertical="center" wrapText="1"/>
      <protection hidden="1"/>
    </xf>
    <xf numFmtId="4" fontId="6" fillId="0" borderId="1" xfId="3" applyNumberFormat="1" applyFont="1" applyFill="1" applyBorder="1" applyAlignment="1" applyProtection="1">
      <alignment horizontal="center" vertical="center"/>
      <protection hidden="1"/>
    </xf>
    <xf numFmtId="10" fontId="6" fillId="0" borderId="1" xfId="2" applyNumberFormat="1" applyFont="1" applyBorder="1" applyAlignment="1" applyProtection="1">
      <alignment horizontal="center" vertical="center"/>
      <protection hidden="1"/>
    </xf>
    <xf numFmtId="164" fontId="5" fillId="0" borderId="1" xfId="1" applyFont="1" applyBorder="1" applyAlignment="1" applyProtection="1">
      <alignment horizontal="center" vertical="center"/>
      <protection hidden="1"/>
    </xf>
    <xf numFmtId="10" fontId="5" fillId="0" borderId="1" xfId="2" applyNumberFormat="1" applyFont="1" applyBorder="1" applyAlignment="1" applyProtection="1">
      <alignment horizontal="center" vertical="center"/>
      <protection hidden="1"/>
    </xf>
    <xf numFmtId="164" fontId="6" fillId="0" borderId="1" xfId="1" applyFont="1" applyBorder="1" applyAlignment="1" applyProtection="1">
      <alignment horizontal="center" vertical="center"/>
      <protection hidden="1"/>
    </xf>
    <xf numFmtId="164" fontId="5" fillId="0" borderId="1" xfId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164" fontId="1" fillId="0" borderId="1" xfId="1" applyFont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2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2" applyNumberFormat="1" applyFont="1" applyBorder="1" applyAlignment="1" applyProtection="1">
      <alignment horizontal="center" vertical="center"/>
      <protection hidden="1"/>
    </xf>
    <xf numFmtId="10" fontId="5" fillId="0" borderId="1" xfId="2" applyNumberFormat="1" applyFont="1" applyBorder="1" applyAlignment="1" applyProtection="1">
      <alignment horizontal="left" vertical="center" wrapText="1"/>
      <protection hidden="1"/>
    </xf>
    <xf numFmtId="2" fontId="3" fillId="0" borderId="1" xfId="1" applyNumberFormat="1" applyFont="1" applyBorder="1" applyAlignment="1" applyProtection="1">
      <alignment horizontal="center" vertical="center"/>
    </xf>
    <xf numFmtId="164" fontId="3" fillId="0" borderId="1" xfId="1" applyFont="1" applyBorder="1" applyAlignment="1" applyProtection="1">
      <alignment horizontal="left" vertical="center" wrapText="1"/>
    </xf>
    <xf numFmtId="2" fontId="1" fillId="0" borderId="1" xfId="1" applyNumberFormat="1" applyFont="1" applyBorder="1" applyAlignment="1" applyProtection="1">
      <alignment horizontal="center" vertical="center"/>
    </xf>
    <xf numFmtId="0" fontId="1" fillId="0" borderId="1" xfId="1" applyNumberFormat="1" applyFont="1" applyBorder="1" applyAlignment="1" applyProtection="1">
      <alignment horizontal="left" vertical="center" wrapText="1"/>
    </xf>
    <xf numFmtId="164" fontId="1" fillId="0" borderId="1" xfId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184" fontId="1" fillId="0" borderId="1" xfId="1" applyNumberFormat="1" applyFont="1" applyBorder="1" applyAlignment="1" applyProtection="1">
      <alignment horizontal="center" vertical="center"/>
    </xf>
    <xf numFmtId="2" fontId="5" fillId="0" borderId="1" xfId="2" applyNumberFormat="1" applyFont="1" applyBorder="1" applyAlignment="1" applyProtection="1">
      <alignment horizontal="center" vertical="center"/>
    </xf>
    <xf numFmtId="10" fontId="5" fillId="0" borderId="1" xfId="2" applyNumberFormat="1" applyFont="1" applyBorder="1" applyAlignment="1" applyProtection="1">
      <alignment horizontal="left" vertical="center" wrapText="1"/>
    </xf>
    <xf numFmtId="2" fontId="6" fillId="0" borderId="1" xfId="2" applyNumberFormat="1" applyFont="1" applyBorder="1" applyAlignment="1" applyProtection="1">
      <alignment horizontal="center" vertical="center"/>
    </xf>
    <xf numFmtId="10" fontId="6" fillId="0" borderId="1" xfId="2" applyNumberFormat="1" applyFont="1" applyBorder="1" applyAlignment="1" applyProtection="1">
      <alignment horizontal="left" vertical="center" wrapText="1"/>
    </xf>
    <xf numFmtId="164" fontId="1" fillId="0" borderId="1" xfId="1" applyFont="1" applyBorder="1" applyAlignment="1" applyProtection="1">
      <alignment horizontal="center" vertical="center" wrapText="1"/>
    </xf>
    <xf numFmtId="2" fontId="6" fillId="0" borderId="1" xfId="1" applyNumberFormat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/>
      <protection hidden="1"/>
    </xf>
    <xf numFmtId="2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left" vertical="center" wrapText="1"/>
    </xf>
    <xf numFmtId="2" fontId="6" fillId="0" borderId="1" xfId="3" applyNumberFormat="1" applyFont="1" applyFill="1" applyBorder="1" applyAlignment="1" applyProtection="1">
      <alignment horizontal="center" vertical="center"/>
    </xf>
    <xf numFmtId="4" fontId="6" fillId="0" borderId="1" xfId="3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left" vertical="top" wrapText="1"/>
    </xf>
    <xf numFmtId="4" fontId="6" fillId="0" borderId="1" xfId="3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1" applyNumberFormat="1" applyFont="1" applyBorder="1" applyAlignment="1" applyProtection="1">
      <alignment horizontal="left" vertical="top" wrapText="1"/>
    </xf>
    <xf numFmtId="172" fontId="6" fillId="0" borderId="1" xfId="3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Border="1" applyAlignment="1" applyProtection="1">
      <alignment horizontal="left" vertical="top" wrapText="1"/>
      <protection hidden="1"/>
    </xf>
    <xf numFmtId="0" fontId="6" fillId="0" borderId="1" xfId="3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center" vertical="center"/>
    </xf>
    <xf numFmtId="176" fontId="1" fillId="0" borderId="1" xfId="1" applyNumberFormat="1" applyFont="1" applyBorder="1" applyAlignment="1" applyProtection="1">
      <alignment horizontal="left" vertical="center" wrapText="1"/>
    </xf>
    <xf numFmtId="10" fontId="5" fillId="0" borderId="1" xfId="2" applyNumberFormat="1" applyFont="1" applyBorder="1" applyAlignment="1" applyProtection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4" fontId="6" fillId="0" borderId="1" xfId="1" applyNumberFormat="1" applyFont="1" applyBorder="1" applyAlignment="1" applyProtection="1">
      <alignment horizontal="center" vertical="center"/>
    </xf>
    <xf numFmtId="172" fontId="6" fillId="0" borderId="1" xfId="3" applyNumberFormat="1" applyFont="1" applyFill="1" applyBorder="1" applyAlignment="1" applyProtection="1">
      <alignment horizontal="center" vertical="center"/>
    </xf>
    <xf numFmtId="184" fontId="1" fillId="0" borderId="0" xfId="0" applyNumberFormat="1" applyFont="1" applyFill="1"/>
    <xf numFmtId="0" fontId="1" fillId="0" borderId="0" xfId="0" applyFont="1" applyFill="1"/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Font="1" applyFill="1" applyBorder="1" applyAlignment="1" applyProtection="1">
      <alignment horizontal="center" vertical="center"/>
      <protection hidden="1"/>
    </xf>
    <xf numFmtId="10" fontId="5" fillId="0" borderId="1" xfId="2" applyNumberFormat="1" applyFont="1" applyFill="1" applyBorder="1" applyAlignment="1" applyProtection="1">
      <alignment horizontal="center" vertical="center"/>
      <protection hidden="1"/>
    </xf>
    <xf numFmtId="10" fontId="3" fillId="0" borderId="1" xfId="2" applyNumberFormat="1" applyFont="1" applyFill="1" applyBorder="1" applyAlignment="1" applyProtection="1">
      <alignment horizontal="center" vertical="center"/>
      <protection hidden="1"/>
    </xf>
    <xf numFmtId="18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Font="1" applyFill="1" applyBorder="1" applyAlignment="1" applyProtection="1">
      <alignment horizontal="center" vertical="center"/>
      <protection hidden="1"/>
    </xf>
    <xf numFmtId="4" fontId="5" fillId="0" borderId="1" xfId="2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  <protection hidden="1"/>
    </xf>
    <xf numFmtId="4" fontId="1" fillId="0" borderId="1" xfId="1" applyNumberFormat="1" applyFont="1" applyFill="1" applyBorder="1" applyAlignment="1" applyProtection="1">
      <alignment horizontal="center" vertical="center"/>
      <protection hidden="1"/>
    </xf>
    <xf numFmtId="164" fontId="1" fillId="0" borderId="1" xfId="1" applyFont="1" applyFill="1" applyBorder="1" applyAlignment="1" applyProtection="1">
      <alignment horizontal="center" vertical="center"/>
      <protection hidden="1"/>
    </xf>
    <xf numFmtId="164" fontId="6" fillId="0" borderId="1" xfId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1" xfId="1" applyFont="1" applyFill="1" applyBorder="1" applyAlignment="1" applyProtection="1">
      <alignment horizontal="center" vertical="center"/>
      <protection locked="0"/>
    </xf>
    <xf numFmtId="184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10" fontId="1" fillId="0" borderId="1" xfId="2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 applyProtection="1">
      <alignment horizontal="center" vertical="center"/>
      <protection hidden="1"/>
    </xf>
    <xf numFmtId="10" fontId="6" fillId="0" borderId="1" xfId="2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Border="1" applyAlignment="1" applyProtection="1">
      <alignment horizontal="center" vertical="center"/>
      <protection hidden="1"/>
    </xf>
    <xf numFmtId="4" fontId="6" fillId="0" borderId="1" xfId="0" applyNumberFormat="1" applyFont="1" applyBorder="1" applyAlignment="1" applyProtection="1">
      <alignment horizontal="center" vertical="center"/>
      <protection hidden="1"/>
    </xf>
    <xf numFmtId="2" fontId="3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4" fontId="1" fillId="0" borderId="1" xfId="1" applyNumberFormat="1" applyFont="1" applyFill="1" applyBorder="1" applyAlignment="1" applyProtection="1">
      <alignment horizontal="center" vertical="center"/>
    </xf>
    <xf numFmtId="185" fontId="1" fillId="0" borderId="1" xfId="1" applyNumberFormat="1" applyFont="1" applyFill="1" applyBorder="1" applyAlignment="1" applyProtection="1">
      <alignment horizontal="center" vertical="center"/>
    </xf>
    <xf numFmtId="3" fontId="6" fillId="0" borderId="1" xfId="3" applyNumberFormat="1" applyFont="1" applyFill="1" applyBorder="1" applyAlignment="1" applyProtection="1">
      <alignment horizontal="center" vertical="center"/>
      <protection hidden="1"/>
    </xf>
    <xf numFmtId="3" fontId="1" fillId="0" borderId="1" xfId="3" applyNumberFormat="1" applyFont="1" applyFill="1" applyBorder="1" applyAlignment="1" applyProtection="1">
      <alignment horizontal="center" vertical="center"/>
      <protection hidden="1"/>
    </xf>
    <xf numFmtId="2" fontId="5" fillId="0" borderId="1" xfId="2" applyNumberFormat="1" applyFont="1" applyFill="1" applyBorder="1" applyAlignment="1" applyProtection="1">
      <alignment horizontal="center" vertical="center"/>
    </xf>
    <xf numFmtId="10" fontId="5" fillId="0" borderId="1" xfId="2" applyNumberFormat="1" applyFont="1" applyFill="1" applyBorder="1" applyAlignment="1" applyProtection="1">
      <alignment horizontal="center" vertical="center"/>
    </xf>
    <xf numFmtId="10" fontId="3" fillId="0" borderId="1" xfId="2" applyNumberFormat="1" applyFont="1" applyFill="1" applyBorder="1" applyAlignment="1" applyProtection="1">
      <alignment horizontal="center" vertical="center"/>
    </xf>
    <xf numFmtId="2" fontId="6" fillId="0" borderId="1" xfId="2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3" applyNumberFormat="1" applyFont="1" applyFill="1" applyBorder="1" applyAlignment="1" applyProtection="1">
      <alignment horizontal="center" vertical="center"/>
      <protection hidden="1"/>
    </xf>
    <xf numFmtId="4" fontId="32" fillId="0" borderId="1" xfId="3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9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left" vertical="center" wrapText="1" indent="4"/>
      <protection hidden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185" fontId="1" fillId="0" borderId="1" xfId="1" applyNumberFormat="1" applyFont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0" fontId="3" fillId="0" borderId="0" xfId="0" applyFont="1" applyFill="1"/>
    <xf numFmtId="0" fontId="26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7" borderId="0" xfId="0" applyFont="1" applyFill="1" applyAlignment="1">
      <alignment vertical="center"/>
    </xf>
    <xf numFmtId="49" fontId="10" fillId="0" borderId="1" xfId="3" applyNumberFormat="1" applyFont="1" applyFill="1" applyBorder="1" applyAlignment="1" applyProtection="1">
      <alignment vertical="center"/>
    </xf>
    <xf numFmtId="0" fontId="10" fillId="0" borderId="1" xfId="3" applyNumberFormat="1" applyFont="1" applyFill="1" applyBorder="1" applyAlignment="1" applyProtection="1">
      <alignment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49" fontId="33" fillId="0" borderId="1" xfId="3" applyNumberFormat="1" applyFont="1" applyFill="1" applyBorder="1" applyAlignment="1" applyProtection="1">
      <alignment horizontal="center" vertical="center"/>
    </xf>
    <xf numFmtId="0" fontId="33" fillId="0" borderId="1" xfId="3" applyNumberFormat="1" applyFont="1" applyFill="1" applyBorder="1" applyAlignment="1" applyProtection="1">
      <alignment vertical="center"/>
    </xf>
    <xf numFmtId="0" fontId="33" fillId="0" borderId="1" xfId="3" applyNumberFormat="1" applyFont="1" applyFill="1" applyBorder="1" applyAlignment="1" applyProtection="1">
      <alignment horizontal="center" vertical="center"/>
    </xf>
    <xf numFmtId="0" fontId="33" fillId="0" borderId="1" xfId="3" applyNumberFormat="1" applyFont="1" applyFill="1" applyBorder="1" applyAlignment="1" applyProtection="1">
      <alignment vertical="center" wrapText="1"/>
    </xf>
    <xf numFmtId="0" fontId="33" fillId="0" borderId="1" xfId="3" applyNumberFormat="1" applyFont="1" applyFill="1" applyBorder="1" applyAlignment="1" applyProtection="1">
      <alignment horizontal="center" vertical="center" wrapText="1"/>
    </xf>
    <xf numFmtId="164" fontId="33" fillId="0" borderId="1" xfId="3" applyNumberFormat="1" applyFont="1" applyFill="1" applyBorder="1" applyAlignment="1" applyProtection="1">
      <alignment horizontal="center" vertical="center" wrapText="1"/>
    </xf>
    <xf numFmtId="0" fontId="33" fillId="0" borderId="1" xfId="3" applyNumberFormat="1" applyFont="1" applyFill="1" applyBorder="1" applyAlignment="1" applyProtection="1">
      <alignment horizontal="left" vertical="center" wrapText="1"/>
    </xf>
    <xf numFmtId="2" fontId="33" fillId="0" borderId="1" xfId="3" applyNumberFormat="1" applyFont="1" applyFill="1" applyBorder="1" applyAlignment="1" applyProtection="1">
      <alignment horizontal="center" vertical="center"/>
    </xf>
    <xf numFmtId="4" fontId="4" fillId="0" borderId="1" xfId="3" applyNumberFormat="1" applyFont="1" applyFill="1" applyBorder="1" applyAlignment="1" applyProtection="1">
      <alignment horizontal="center" vertical="center"/>
    </xf>
    <xf numFmtId="3" fontId="33" fillId="0" borderId="1" xfId="3" applyNumberFormat="1" applyFont="1" applyFill="1" applyBorder="1" applyAlignment="1" applyProtection="1">
      <alignment horizontal="center" vertical="center"/>
    </xf>
    <xf numFmtId="3" fontId="4" fillId="0" borderId="1" xfId="3" applyNumberFormat="1" applyFont="1" applyFill="1" applyBorder="1" applyAlignment="1" applyProtection="1">
      <alignment horizontal="center" vertical="center"/>
    </xf>
    <xf numFmtId="182" fontId="33" fillId="0" borderId="1" xfId="3" applyNumberFormat="1" applyFont="1" applyFill="1" applyBorder="1" applyAlignment="1" applyProtection="1">
      <alignment horizontal="center" vertical="center"/>
    </xf>
    <xf numFmtId="170" fontId="33" fillId="0" borderId="1" xfId="3" applyNumberFormat="1" applyFont="1" applyFill="1" applyBorder="1" applyAlignment="1" applyProtection="1">
      <alignment horizontal="center" vertical="center"/>
    </xf>
    <xf numFmtId="10" fontId="33" fillId="0" borderId="1" xfId="2" applyNumberFormat="1" applyFont="1" applyFill="1" applyBorder="1" applyAlignment="1" applyProtection="1">
      <alignment horizontal="center" vertical="center"/>
    </xf>
    <xf numFmtId="10" fontId="4" fillId="0" borderId="1" xfId="3" applyNumberFormat="1" applyFont="1" applyFill="1" applyBorder="1" applyAlignment="1" applyProtection="1">
      <alignment horizontal="center" vertical="center"/>
    </xf>
    <xf numFmtId="164" fontId="33" fillId="0" borderId="1" xfId="3" applyNumberFormat="1" applyFont="1" applyFill="1" applyBorder="1" applyAlignment="1" applyProtection="1">
      <alignment horizontal="center" vertical="center"/>
    </xf>
    <xf numFmtId="164" fontId="4" fillId="0" borderId="1" xfId="3" applyNumberFormat="1" applyFont="1" applyFill="1" applyBorder="1" applyAlignment="1" applyProtection="1">
      <alignment horizontal="center" vertical="center"/>
    </xf>
    <xf numFmtId="4" fontId="33" fillId="0" borderId="1" xfId="3" applyNumberFormat="1" applyFont="1" applyFill="1" applyBorder="1" applyAlignment="1" applyProtection="1">
      <alignment horizontal="center" vertical="center"/>
    </xf>
    <xf numFmtId="10" fontId="4" fillId="0" borderId="1" xfId="2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vertical="center" wrapText="1"/>
    </xf>
    <xf numFmtId="0" fontId="10" fillId="7" borderId="1" xfId="3" applyNumberFormat="1" applyFont="1" applyFill="1" applyBorder="1" applyAlignment="1" applyProtection="1">
      <alignment horizontal="center" vertical="center" wrapText="1"/>
    </xf>
    <xf numFmtId="0" fontId="10" fillId="7" borderId="1" xfId="3" applyNumberFormat="1" applyFont="1" applyFill="1" applyBorder="1" applyAlignment="1" applyProtection="1">
      <alignment horizontal="center" vertical="center"/>
      <protection hidden="1"/>
    </xf>
    <xf numFmtId="0" fontId="10" fillId="7" borderId="1" xfId="3" applyNumberFormat="1" applyFont="1" applyFill="1" applyBorder="1" applyAlignment="1" applyProtection="1">
      <alignment horizontal="center" vertical="center"/>
    </xf>
    <xf numFmtId="0" fontId="33" fillId="7" borderId="1" xfId="3" applyNumberFormat="1" applyFont="1" applyFill="1" applyBorder="1" applyAlignment="1" applyProtection="1">
      <alignment horizontal="center" vertical="center"/>
    </xf>
    <xf numFmtId="10" fontId="4" fillId="7" borderId="1" xfId="2" applyNumberFormat="1" applyFont="1" applyFill="1" applyBorder="1" applyAlignment="1" applyProtection="1">
      <alignment horizontal="center" vertical="center"/>
    </xf>
    <xf numFmtId="10" fontId="33" fillId="0" borderId="1" xfId="2" applyNumberFormat="1" applyFont="1" applyBorder="1" applyAlignment="1" applyProtection="1">
      <alignment horizontal="center" vertical="center"/>
    </xf>
    <xf numFmtId="185" fontId="4" fillId="7" borderId="1" xfId="3" applyNumberFormat="1" applyFont="1" applyFill="1" applyBorder="1" applyAlignment="1" applyProtection="1">
      <alignment horizontal="center" vertical="center"/>
    </xf>
    <xf numFmtId="185" fontId="33" fillId="0" borderId="1" xfId="3" applyNumberFormat="1" applyFont="1" applyFill="1" applyBorder="1" applyAlignment="1" applyProtection="1">
      <alignment horizontal="center" vertical="center"/>
    </xf>
    <xf numFmtId="4" fontId="4" fillId="7" borderId="1" xfId="3" applyNumberFormat="1" applyFont="1" applyFill="1" applyBorder="1" applyAlignment="1" applyProtection="1">
      <alignment horizontal="center" vertical="center"/>
    </xf>
    <xf numFmtId="10" fontId="4" fillId="7" borderId="1" xfId="3" applyNumberFormat="1" applyFont="1" applyFill="1" applyBorder="1" applyAlignment="1" applyProtection="1">
      <alignment horizontal="center" vertical="center"/>
    </xf>
    <xf numFmtId="10" fontId="33" fillId="0" borderId="1" xfId="3" applyNumberFormat="1" applyFont="1" applyFill="1" applyBorder="1" applyAlignment="1" applyProtection="1">
      <alignment horizontal="center" vertical="center"/>
    </xf>
    <xf numFmtId="9" fontId="33" fillId="0" borderId="1" xfId="3" applyNumberFormat="1" applyFont="1" applyFill="1" applyBorder="1" applyAlignment="1" applyProtection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/>
    </xf>
    <xf numFmtId="3" fontId="4" fillId="7" borderId="1" xfId="3" applyNumberFormat="1" applyFont="1" applyFill="1" applyBorder="1" applyAlignment="1" applyProtection="1">
      <alignment horizontal="center" vertical="center"/>
    </xf>
    <xf numFmtId="0" fontId="34" fillId="7" borderId="1" xfId="3" applyNumberFormat="1" applyFont="1" applyFill="1" applyBorder="1" applyAlignment="1" applyProtection="1">
      <alignment horizontal="center" vertical="center"/>
    </xf>
    <xf numFmtId="176" fontId="4" fillId="7" borderId="1" xfId="3" applyNumberFormat="1" applyFont="1" applyFill="1" applyBorder="1" applyAlignment="1" applyProtection="1">
      <alignment horizontal="center" vertical="center"/>
    </xf>
    <xf numFmtId="172" fontId="4" fillId="7" borderId="1" xfId="3" applyNumberFormat="1" applyFont="1" applyFill="1" applyBorder="1" applyAlignment="1" applyProtection="1">
      <alignment horizontal="center" vertical="center"/>
    </xf>
    <xf numFmtId="179" fontId="33" fillId="0" borderId="1" xfId="3" applyNumberFormat="1" applyFont="1" applyFill="1" applyBorder="1" applyAlignment="1" applyProtection="1">
      <alignment horizontal="center" vertical="center"/>
    </xf>
    <xf numFmtId="179" fontId="4" fillId="7" borderId="1" xfId="3" applyNumberFormat="1" applyFont="1" applyFill="1" applyBorder="1" applyAlignment="1" applyProtection="1">
      <alignment horizontal="center" vertical="center"/>
    </xf>
    <xf numFmtId="179" fontId="33" fillId="7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1" xfId="3" applyNumberFormat="1" applyFont="1" applyFill="1" applyBorder="1" applyAlignment="1" applyProtection="1">
      <alignment horizontal="center" vertical="center"/>
      <protection hidden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185" fontId="4" fillId="0" borderId="1" xfId="3" applyNumberFormat="1" applyFont="1" applyFill="1" applyBorder="1" applyAlignment="1" applyProtection="1">
      <alignment horizontal="center" vertical="center"/>
    </xf>
    <xf numFmtId="170" fontId="10" fillId="0" borderId="1" xfId="3" applyNumberFormat="1" applyFont="1" applyFill="1" applyBorder="1" applyAlignment="1" applyProtection="1">
      <alignment horizontal="center" vertical="center"/>
    </xf>
    <xf numFmtId="0" fontId="34" fillId="0" borderId="1" xfId="3" applyNumberFormat="1" applyFont="1" applyFill="1" applyBorder="1" applyAlignment="1" applyProtection="1">
      <alignment horizontal="center" vertical="center"/>
    </xf>
    <xf numFmtId="179" fontId="4" fillId="0" borderId="1" xfId="3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vertical="center" wrapText="1"/>
    </xf>
    <xf numFmtId="0" fontId="0" fillId="0" borderId="0" xfId="0" applyFill="1"/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NumberFormat="1" applyFont="1" applyFill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30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/>
    <xf numFmtId="4" fontId="1" fillId="0" borderId="0" xfId="0" applyNumberFormat="1" applyFont="1"/>
    <xf numFmtId="186" fontId="6" fillId="0" borderId="1" xfId="3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/>
    <xf numFmtId="164" fontId="1" fillId="8" borderId="1" xfId="1" applyFont="1" applyFill="1" applyBorder="1" applyAlignment="1" applyProtection="1">
      <alignment horizontal="center" vertical="center"/>
    </xf>
    <xf numFmtId="185" fontId="1" fillId="8" borderId="1" xfId="1" applyNumberFormat="1" applyFont="1" applyFill="1" applyBorder="1" applyAlignment="1" applyProtection="1">
      <alignment horizontal="center" vertical="center"/>
    </xf>
    <xf numFmtId="3" fontId="6" fillId="8" borderId="1" xfId="3" applyNumberFormat="1" applyFont="1" applyFill="1" applyBorder="1" applyAlignment="1" applyProtection="1">
      <alignment horizontal="center" vertical="center"/>
      <protection hidden="1"/>
    </xf>
    <xf numFmtId="4" fontId="32" fillId="0" borderId="1" xfId="1" applyNumberFormat="1" applyFont="1" applyFill="1" applyBorder="1" applyAlignment="1" applyProtection="1">
      <alignment horizontal="center" vertical="center"/>
    </xf>
    <xf numFmtId="164" fontId="32" fillId="0" borderId="1" xfId="1" applyFont="1" applyFill="1" applyBorder="1" applyAlignment="1" applyProtection="1">
      <alignment horizontal="center" vertical="center"/>
    </xf>
    <xf numFmtId="4" fontId="33" fillId="8" borderId="1" xfId="3" applyNumberFormat="1" applyFont="1" applyFill="1" applyBorder="1" applyAlignment="1" applyProtection="1">
      <alignment horizontal="center" vertical="center"/>
    </xf>
    <xf numFmtId="3" fontId="33" fillId="8" borderId="1" xfId="3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/>
    <xf numFmtId="0" fontId="27" fillId="0" borderId="0" xfId="0" applyFont="1" applyFill="1" applyAlignment="1">
      <alignment horizontal="left" vertical="center"/>
    </xf>
    <xf numFmtId="0" fontId="0" fillId="0" borderId="0" xfId="0"/>
    <xf numFmtId="0" fontId="1" fillId="0" borderId="0" xfId="0" applyFont="1"/>
    <xf numFmtId="184" fontId="23" fillId="0" borderId="0" xfId="0" applyNumberFormat="1" applyFont="1" applyBorder="1" applyAlignme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0"/>
    <xf numFmtId="184" fontId="23" fillId="0" borderId="0" xfId="0" applyNumberFormat="1" applyFont="1" applyBorder="1" applyAlignment="1"/>
    <xf numFmtId="0" fontId="3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10" fillId="0" borderId="1" xfId="3" applyNumberFormat="1" applyFont="1" applyFill="1" applyBorder="1" applyAlignment="1" applyProtection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left"/>
    </xf>
    <xf numFmtId="0" fontId="24" fillId="0" borderId="21" xfId="0" applyFont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hidden="1"/>
    </xf>
    <xf numFmtId="49" fontId="5" fillId="0" borderId="1" xfId="3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3" applyNumberFormat="1" applyFont="1" applyFill="1" applyBorder="1" applyAlignment="1" applyProtection="1">
      <alignment horizontal="center" vertical="center"/>
      <protection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184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84" fontId="2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5" fillId="0" borderId="11" xfId="3" applyNumberFormat="1" applyFont="1" applyFill="1" applyBorder="1" applyAlignment="1" applyProtection="1">
      <alignment horizontal="left" vertical="center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5" fillId="0" borderId="0" xfId="3" applyNumberFormat="1" applyFont="1" applyFill="1" applyBorder="1" applyAlignment="1" applyProtection="1">
      <alignment horizontal="right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/>
    </xf>
    <xf numFmtId="0" fontId="23" fillId="0" borderId="0" xfId="3" applyNumberFormat="1" applyFont="1" applyFill="1" applyBorder="1" applyAlignment="1" applyProtection="1">
      <alignment horizontal="right" vertical="center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24" fillId="0" borderId="0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2" fontId="3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left" vertical="center" wrapText="1"/>
    </xf>
    <xf numFmtId="4" fontId="5" fillId="3" borderId="11" xfId="3" applyNumberFormat="1" applyFont="1" applyFill="1" applyBorder="1" applyAlignment="1" applyProtection="1">
      <alignment horizontal="center" vertical="center" wrapText="1"/>
    </xf>
    <xf numFmtId="4" fontId="5" fillId="0" borderId="1" xfId="3" applyNumberFormat="1" applyFont="1" applyFill="1" applyBorder="1" applyAlignment="1" applyProtection="1">
      <alignment horizontal="center" vertical="center" wrapText="1"/>
    </xf>
    <xf numFmtId="4" fontId="5" fillId="3" borderId="1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center" wrapText="1"/>
    </xf>
    <xf numFmtId="49" fontId="6" fillId="0" borderId="1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4" fontId="3" fillId="0" borderId="1" xfId="3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">
    <cellStyle name="Обычный" xfId="0" builtinId="0"/>
    <cellStyle name="Пояснение" xfId="3" builtinId="53"/>
    <cellStyle name="Процентный" xfId="2" builtinId="5"/>
    <cellStyle name="Финансовый" xfId="1" builtinId="3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BE5D6"/>
      <rgbColor rgb="0030EFF0"/>
      <rgbColor rgb="00800080"/>
      <rgbColor rgb="00800000"/>
      <rgbColor rgb="00008080"/>
      <rgbColor rgb="000000FF"/>
      <rgbColor rgb="0000CCFF"/>
      <rgbColor rgb="00FFF2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45</xdr:row>
      <xdr:rowOff>19050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>
        <a:xfrm>
          <a:off x="0" y="0"/>
          <a:ext cx="10191750" cy="1082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45</xdr:row>
      <xdr:rowOff>19050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>
        <a:xfrm>
          <a:off x="0" y="0"/>
          <a:ext cx="10191750" cy="1082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45</xdr:row>
      <xdr:rowOff>19050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>
        <a:xfrm>
          <a:off x="0" y="0"/>
          <a:ext cx="10191750" cy="1082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45</xdr:row>
      <xdr:rowOff>19050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>
        <a:xfrm>
          <a:off x="0" y="0"/>
          <a:ext cx="10191750" cy="1082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19050</xdr:colOff>
      <xdr:row>21</xdr:row>
      <xdr:rowOff>104775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21</xdr:row>
      <xdr:rowOff>104775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21</xdr:row>
      <xdr:rowOff>104775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19050</xdr:colOff>
      <xdr:row>21</xdr:row>
      <xdr:rowOff>104775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/DOCUME~1/VINOKU~1/LOCALS~1/Temp/Rar$DI00.126/JKH.OPEN.INFO.WARM2(v2.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Users/Yarkova/AppData/Local/Temp/notes94CB97/~048967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55/AppData/Local/Temp/notes9D51CD/&#1051;&#1080;&#1089;&#1090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file/Users/&#1040;&#1083;&#1077;&#1082;&#1089;&#1072;&#1085;&#1076;&#1088;%20&#1052;&#1086;&#1075;&#1083;&#1103;&#1095;&#1077;&#1074;/Desktop/&#1041;&#1091;&#1093;&#1075;&#1072;&#1083;&#1090;&#1077;&#1088;&#1089;&#1082;&#1080;&#1081;%20&#1073;&#1072;&#1083;&#1072;&#1085;&#1089;/FORMA1.BUHG.2.6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file/DOCUME~1/VINOKU~1/LOCALS~1/Temp/Rar$DI00.126/JKH.OPEN.INFO.WARM2(v2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file/Documents/&#1052;&#1086;&#1082;&#1096;&#1080;&#1085;/&#1053;&#1086;&#1088;&#1084;&#1072;&#1090;&#1080;&#1074;&#1099;%20&#1087;&#1086;&#1090;&#1077;&#1088;&#1100;%20&#1074;&#1086;&#1076;&#1099;/&#1064;&#1072;&#1073;&#1083;&#1086;&#1085;&#1099;%20&#1060;&#1057;&#1058;/BALANCE.CALC.TARIFF.VSNA.2013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Users/Polkanova_T/Documents/&#1052;&#1086;&#1080;%20&#1076;&#1086;&#1082;&#1091;&#1084;&#1077;&#1085;&#1090;&#1099;/&#1050;&#1054;&#1053;&#1062;&#1045;&#1057;&#1057;&#1048;&#1071;%20-%202016/&#1058;&#1072;&#1088;&#1080;&#1092;&#1085;&#1099;&#1077;%20&#1084;&#1086;&#1076;&#1077;&#1083;&#1080;/&#1054;&#1090;%20&#1042;&#1064;&#1069;/&#1057;&#1091;&#1097;&#1077;&#1089;&#1090;&#1074;&#1077;&#1085;&#1085;&#1099;&#1077;%20&#1091;&#1089;&#1083;&#1086;&#1074;&#1080;&#1103;_3_&#1087;&#1086;%20&#1075;&#1088;&#1072;&#1092;&#1080;&#1082;&#1091;%20-%2015.11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DOCUME~1/Petrov/LOCALS~1/Temp/notes90ECD1/05.12.2016%20&#8470;%203595%20&#1055;&#1088;&#1080;&#1083;&#1086;&#1078;&#1077;&#1085;&#1080;&#1077;%2010%20&#1061;_&#1080;&#1089;&#1087;&#1088;&#1072;&#1074;&#1083;&#1077;&#1085;&#1086;%20&#1087;&#1086;&#1076;%20&#1056;&#1057;&#1058;%20&#1055;&#1050;%20&#1082;&#1086;&#1088;&#1088;&#1077;&#1082;&#109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Users/Yarkova/AppData/Local/Temp/notes94CB97/05.12.2016%20&#8470;%203595%20&#1055;&#1088;&#1080;&#1083;&#1086;&#1078;&#1077;&#1085;&#1080;&#1077;%2010%20&#1061;_&#1080;&#1089;&#1087;&#1088;&#1072;&#1074;&#1083;&#1077;&#1085;&#1086;%20&#1087;&#1086;&#1076;%20&#1056;&#1057;&#1058;%20&#1055;&#1050;%20&#1082;&#1086;&#1088;&#1088;&#1077;&#1082;&#109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kova/AppData/Local/Temp/notes94CB97/&#1062;&#1077;&#1093;20/&#1044;&#1080;&#1088;&#1069;&#1080;&#1060;/&#1059;&#1069;&#1062;/!&#1054;&#1073;&#1097;&#1072;&#1103;/&#1058;&#1072;&#1088;&#1080;&#1092;&#1099;/&#1041;&#1077;&#1088;&#1077;&#1079;&#1085;&#1080;&#1082;&#1080;/2017/&#1069;&#1082;&#1089;&#1087;&#1077;&#1088;&#1090;&#1085;&#1099;&#1077;%20&#1079;&#1072;&#1082;&#1083;&#1102;&#1095;&#1077;&#1085;&#1080;&#1103;/&#1069;&#1047;%20&#1053;&#1054;&#1042;&#1054;&#1043;&#1054;&#1056;%20&#1041;&#1060;%202017&#1075;_&#1056;&#1057;&#1058;%202017-2021_&#1042;&#1057;15,9%25_&#1042;&#1054;16%25%20&#1076;&#1086;%202021_22.12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  <sheetName val="Паспорт"/>
      <sheetName val="Заголово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 коррект"/>
      <sheetName val="Прил 10 коррект"/>
      <sheetName val="свод Инв.обяз."/>
      <sheetName val="%"/>
      <sheetName val="Прил 9 подписано"/>
      <sheetName val="Прил 10 подписано"/>
    </sheetNames>
    <sheetDataSet>
      <sheetData sheetId="0">
        <row r="45">
          <cell r="O45">
            <v>28139.055029359799</v>
          </cell>
          <cell r="CD45">
            <v>13543.117744786199</v>
          </cell>
        </row>
        <row r="46">
          <cell r="D46">
            <v>703525.95451524202</v>
          </cell>
          <cell r="E46">
            <v>460624.04924093001</v>
          </cell>
          <cell r="F46">
            <v>8458.76512</v>
          </cell>
          <cell r="G46">
            <v>1858.0643</v>
          </cell>
          <cell r="H46">
            <v>14609.55</v>
          </cell>
          <cell r="I46">
            <v>18383.39</v>
          </cell>
          <cell r="L46">
            <v>9957.5293408853995</v>
          </cell>
          <cell r="O46">
            <v>10944.7216710015</v>
          </cell>
          <cell r="R46">
            <v>6374.6543304617999</v>
          </cell>
          <cell r="U46">
            <v>3112.8847663567899</v>
          </cell>
          <cell r="X46">
            <v>4473.871452413</v>
          </cell>
          <cell r="AA46">
            <v>4380.4805597045997</v>
          </cell>
          <cell r="AD46">
            <v>16162.422318429601</v>
          </cell>
          <cell r="AG46">
            <v>27839.055029359799</v>
          </cell>
          <cell r="AJ46">
            <v>27839.055029359799</v>
          </cell>
          <cell r="AM46">
            <v>27839.055029359799</v>
          </cell>
          <cell r="AP46">
            <v>27839.055029359799</v>
          </cell>
          <cell r="AS46">
            <v>27839.055029359799</v>
          </cell>
          <cell r="AV46">
            <v>27839.055029359799</v>
          </cell>
          <cell r="AY46">
            <v>27839.055029359799</v>
          </cell>
          <cell r="BB46">
            <v>27839.055029359799</v>
          </cell>
          <cell r="BE46">
            <v>27839.055029359799</v>
          </cell>
          <cell r="BH46">
            <v>27839.055029359799</v>
          </cell>
          <cell r="BK46">
            <v>27839.055029359799</v>
          </cell>
          <cell r="BN46">
            <v>27839.055029359799</v>
          </cell>
          <cell r="BQ46">
            <v>27839.055029359799</v>
          </cell>
          <cell r="BT46">
            <v>242901.90527431201</v>
          </cell>
          <cell r="BU46">
            <v>2791.4819599999901</v>
          </cell>
          <cell r="BV46">
            <v>971.39</v>
          </cell>
          <cell r="BW46">
            <v>9273.0865900000008</v>
          </cell>
          <cell r="BX46">
            <v>0</v>
          </cell>
          <cell r="CA46">
            <v>6839.5949889762096</v>
          </cell>
          <cell r="CD46">
            <v>10003.337330177999</v>
          </cell>
          <cell r="CG46">
            <v>9621.5714496441997</v>
          </cell>
          <cell r="CJ46">
            <v>4962.5263202757396</v>
          </cell>
          <cell r="CM46">
            <v>6280.0704634452104</v>
          </cell>
          <cell r="CP46">
            <v>12392.7277447862</v>
          </cell>
          <cell r="CS46">
            <v>12805.5877447862</v>
          </cell>
          <cell r="CV46">
            <v>12843.117744786199</v>
          </cell>
          <cell r="CY46">
            <v>12843.117744786199</v>
          </cell>
          <cell r="DB46">
            <v>12843.117744786199</v>
          </cell>
          <cell r="DE46">
            <v>12843.117744786199</v>
          </cell>
          <cell r="DH46">
            <v>12843.117744786199</v>
          </cell>
          <cell r="DK46">
            <v>12843.117744786199</v>
          </cell>
          <cell r="DN46">
            <v>12843.117744786199</v>
          </cell>
          <cell r="DQ46">
            <v>12843.117744786199</v>
          </cell>
          <cell r="DT46">
            <v>12843.117744786199</v>
          </cell>
          <cell r="DW46">
            <v>12843.117744786199</v>
          </cell>
          <cell r="DZ46">
            <v>12843.117744786199</v>
          </cell>
          <cell r="EC46">
            <v>12843.117744786199</v>
          </cell>
          <cell r="EF46">
            <v>12843.117744786199</v>
          </cell>
        </row>
        <row r="48">
          <cell r="D48">
            <v>150230.496764904</v>
          </cell>
          <cell r="E48">
            <v>120664.092375343</v>
          </cell>
          <cell r="F48">
            <v>538.29025999999999</v>
          </cell>
          <cell r="G48">
            <v>8702.4407800000008</v>
          </cell>
          <cell r="H48">
            <v>636.31736000000103</v>
          </cell>
          <cell r="I48">
            <v>7131.0662456155997</v>
          </cell>
          <cell r="L48">
            <v>7730.5390133935398</v>
          </cell>
          <cell r="O48">
            <v>9783.6385431932995</v>
          </cell>
          <cell r="R48">
            <v>13334.263896995401</v>
          </cell>
          <cell r="U48">
            <v>18752.2034187889</v>
          </cell>
          <cell r="X48">
            <v>20529.1364292701</v>
          </cell>
          <cell r="AA48">
            <v>21849.563717155699</v>
          </cell>
          <cell r="AD48">
            <v>11676.6327109302</v>
          </cell>
          <cell r="AG48">
            <v>0</v>
          </cell>
          <cell r="AJ48">
            <v>0</v>
          </cell>
          <cell r="AM48">
            <v>0</v>
          </cell>
          <cell r="AP48">
            <v>0</v>
          </cell>
          <cell r="AS48">
            <v>0</v>
          </cell>
          <cell r="AV48">
            <v>0</v>
          </cell>
          <cell r="AY48">
            <v>0</v>
          </cell>
          <cell r="BB48">
            <v>0</v>
          </cell>
          <cell r="BE48">
            <v>0</v>
          </cell>
          <cell r="BH48">
            <v>0</v>
          </cell>
          <cell r="BK48">
            <v>0</v>
          </cell>
          <cell r="BN48">
            <v>0</v>
          </cell>
          <cell r="BQ48">
            <v>0</v>
          </cell>
          <cell r="BT48">
            <v>29566.4043895615</v>
          </cell>
          <cell r="BU48">
            <v>2186.7867760377299</v>
          </cell>
          <cell r="BV48">
            <v>6872.4592199999997</v>
          </cell>
          <cell r="BW48">
            <v>0</v>
          </cell>
          <cell r="BX48">
            <v>1991.0670877177299</v>
          </cell>
          <cell r="CA48">
            <v>2209.9276532731201</v>
          </cell>
          <cell r="CD48">
            <v>162.44516377615901</v>
          </cell>
          <cell r="CG48">
            <v>2771.1562951420101</v>
          </cell>
          <cell r="CJ48">
            <v>7259.9049122737697</v>
          </cell>
          <cell r="CM48">
            <v>6112.6572813410103</v>
          </cell>
          <cell r="CP48">
            <v>0</v>
          </cell>
          <cell r="CS48">
            <v>0</v>
          </cell>
          <cell r="CV48">
            <v>0</v>
          </cell>
          <cell r="CY48">
            <v>0</v>
          </cell>
          <cell r="DB48">
            <v>0</v>
          </cell>
          <cell r="DE48">
            <v>0</v>
          </cell>
          <cell r="DH48">
            <v>0</v>
          </cell>
          <cell r="DK48">
            <v>0</v>
          </cell>
          <cell r="DN48">
            <v>0</v>
          </cell>
          <cell r="DQ48">
            <v>0</v>
          </cell>
          <cell r="DT48">
            <v>0</v>
          </cell>
          <cell r="DW48">
            <v>0</v>
          </cell>
          <cell r="DZ48">
            <v>0</v>
          </cell>
          <cell r="EC48">
            <v>0</v>
          </cell>
          <cell r="EF48">
            <v>0</v>
          </cell>
        </row>
        <row r="49">
          <cell r="D49">
            <v>44003.373359152203</v>
          </cell>
          <cell r="E49">
            <v>37165.255563332801</v>
          </cell>
          <cell r="I49">
            <v>3301.7667243843998</v>
          </cell>
          <cell r="L49">
            <v>8203.6324774904606</v>
          </cell>
          <cell r="O49">
            <v>7110.6948151650204</v>
          </cell>
          <cell r="R49">
            <v>8130.1368019026104</v>
          </cell>
          <cell r="U49">
            <v>5973.9668442141301</v>
          </cell>
          <cell r="X49">
            <v>2836.0471476767002</v>
          </cell>
          <cell r="AA49">
            <v>1609.0107524994901</v>
          </cell>
          <cell r="AD49">
            <v>0</v>
          </cell>
          <cell r="AG49">
            <v>0</v>
          </cell>
          <cell r="AJ49">
            <v>0</v>
          </cell>
          <cell r="AM49">
            <v>0</v>
          </cell>
          <cell r="AP49">
            <v>0</v>
          </cell>
          <cell r="AS49">
            <v>0</v>
          </cell>
          <cell r="AV49">
            <v>0</v>
          </cell>
          <cell r="AY49">
            <v>0</v>
          </cell>
          <cell r="BB49">
            <v>0</v>
          </cell>
          <cell r="BE49">
            <v>0</v>
          </cell>
          <cell r="BH49">
            <v>0</v>
          </cell>
          <cell r="BK49">
            <v>0</v>
          </cell>
          <cell r="BN49">
            <v>0</v>
          </cell>
          <cell r="BQ49">
            <v>0</v>
          </cell>
          <cell r="BT49">
            <v>6838.1177958194003</v>
          </cell>
          <cell r="BX49">
            <v>4217.316675</v>
          </cell>
          <cell r="CA49">
            <v>223.55935775066999</v>
          </cell>
          <cell r="CD49">
            <v>2226.9452508320201</v>
          </cell>
          <cell r="CG49">
            <v>0</v>
          </cell>
          <cell r="CJ49">
            <v>170.29651223671101</v>
          </cell>
          <cell r="CM49">
            <v>0</v>
          </cell>
          <cell r="CP49">
            <v>0</v>
          </cell>
          <cell r="CS49">
            <v>0</v>
          </cell>
          <cell r="CV49">
            <v>0</v>
          </cell>
          <cell r="CY49">
            <v>0</v>
          </cell>
          <cell r="DB49">
            <v>0</v>
          </cell>
          <cell r="DE49">
            <v>0</v>
          </cell>
          <cell r="DH49">
            <v>0</v>
          </cell>
          <cell r="DK49">
            <v>0</v>
          </cell>
          <cell r="DN49">
            <v>0</v>
          </cell>
          <cell r="DQ49">
            <v>0</v>
          </cell>
          <cell r="DT49">
            <v>0</v>
          </cell>
          <cell r="DW49">
            <v>0</v>
          </cell>
          <cell r="DZ49">
            <v>0</v>
          </cell>
          <cell r="EC49">
            <v>0</v>
          </cell>
          <cell r="EF49">
            <v>0</v>
          </cell>
        </row>
        <row r="52">
          <cell r="D52">
            <v>182001.39277624799</v>
          </cell>
          <cell r="E52">
            <v>82041.275179383898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  <cell r="X52">
            <v>0</v>
          </cell>
          <cell r="AA52">
            <v>0</v>
          </cell>
          <cell r="AD52">
            <v>0</v>
          </cell>
          <cell r="AG52">
            <v>2392.2757607365002</v>
          </cell>
          <cell r="AJ52">
            <v>19079.949926728001</v>
          </cell>
          <cell r="AM52">
            <v>17548.219341690699</v>
          </cell>
          <cell r="AP52">
            <v>13050.924002646099</v>
          </cell>
          <cell r="AS52">
            <v>10877.4284054411</v>
          </cell>
          <cell r="AV52">
            <v>8681.0762149993097</v>
          </cell>
          <cell r="AY52">
            <v>6405.9319473820296</v>
          </cell>
          <cell r="BB52">
            <v>0</v>
          </cell>
          <cell r="BE52">
            <v>4005.4695797600998</v>
          </cell>
          <cell r="BN52">
            <v>0</v>
          </cell>
          <cell r="BQ52">
            <v>0</v>
          </cell>
          <cell r="BT52">
            <v>99960.117596864206</v>
          </cell>
          <cell r="BU52">
            <v>0</v>
          </cell>
          <cell r="BV52">
            <v>0</v>
          </cell>
          <cell r="BW52">
            <v>5341.5634099999997</v>
          </cell>
          <cell r="BX52">
            <v>0</v>
          </cell>
          <cell r="CA52">
            <v>0</v>
          </cell>
          <cell r="CD52">
            <v>0</v>
          </cell>
          <cell r="CG52">
            <v>0</v>
          </cell>
          <cell r="CJ52">
            <v>0</v>
          </cell>
          <cell r="CM52">
            <v>0</v>
          </cell>
          <cell r="CP52">
            <v>0</v>
          </cell>
          <cell r="CS52">
            <v>0</v>
          </cell>
          <cell r="CV52">
            <v>2392.2757607365002</v>
          </cell>
          <cell r="CY52">
            <v>19913.3752141064</v>
          </cell>
          <cell r="DB52">
            <v>18055.5906879096</v>
          </cell>
          <cell r="DE52">
            <v>14678.045698660901</v>
          </cell>
          <cell r="DH52">
            <v>13055.3701304273</v>
          </cell>
          <cell r="DK52">
            <v>11421.740805073099</v>
          </cell>
          <cell r="DN52">
            <v>9740.5490934657391</v>
          </cell>
          <cell r="DQ52">
            <v>4126.3967964846697</v>
          </cell>
          <cell r="DT52">
            <v>1235.20999999996</v>
          </cell>
          <cell r="DW52">
            <v>0</v>
          </cell>
          <cell r="DZ52">
            <v>0</v>
          </cell>
          <cell r="EC52">
            <v>0</v>
          </cell>
          <cell r="EF52">
            <v>0</v>
          </cell>
        </row>
        <row r="53">
          <cell r="D53">
            <v>96170.213335095803</v>
          </cell>
          <cell r="E53">
            <v>54867.201767204599</v>
          </cell>
          <cell r="F53">
            <v>5749.4992351487099</v>
          </cell>
          <cell r="G53">
            <v>8714.5452868676402</v>
          </cell>
          <cell r="H53">
            <v>4414.8731639784301</v>
          </cell>
          <cell r="I53">
            <v>0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  <cell r="X53">
            <v>0</v>
          </cell>
          <cell r="AA53">
            <v>0</v>
          </cell>
          <cell r="AD53">
            <v>8738.5440074363796</v>
          </cell>
          <cell r="AG53">
            <v>24722.6662003536</v>
          </cell>
          <cell r="AJ53">
            <v>2527.0738734198899</v>
          </cell>
          <cell r="AM53">
            <v>0</v>
          </cell>
          <cell r="AP53">
            <v>0</v>
          </cell>
          <cell r="AS53">
            <v>0</v>
          </cell>
          <cell r="AV53">
            <v>0</v>
          </cell>
          <cell r="AY53">
            <v>0</v>
          </cell>
          <cell r="BB53">
            <v>0</v>
          </cell>
          <cell r="BE53">
            <v>0</v>
          </cell>
          <cell r="BH53">
            <v>0</v>
          </cell>
          <cell r="BK53">
            <v>0</v>
          </cell>
          <cell r="BN53">
            <v>0</v>
          </cell>
          <cell r="BQ53">
            <v>0</v>
          </cell>
          <cell r="BT53">
            <v>41303.011567891197</v>
          </cell>
          <cell r="BU53">
            <v>0</v>
          </cell>
          <cell r="BV53">
            <v>3621.57166228491</v>
          </cell>
          <cell r="BW53">
            <v>3329.2761426882398</v>
          </cell>
          <cell r="BX53">
            <v>0</v>
          </cell>
          <cell r="CA53">
            <v>0</v>
          </cell>
          <cell r="CD53">
            <v>2959.4364908366201</v>
          </cell>
          <cell r="CG53">
            <v>1974.1345024242901</v>
          </cell>
          <cell r="CJ53">
            <v>0</v>
          </cell>
          <cell r="CM53">
            <v>1944.5158341323299</v>
          </cell>
          <cell r="CP53">
            <v>8539.2458275877107</v>
          </cell>
          <cell r="CS53">
            <v>7988.4744930434799</v>
          </cell>
          <cell r="CV53">
            <v>9730.0947687943208</v>
          </cell>
          <cell r="CY53">
            <v>1216.2618460992901</v>
          </cell>
          <cell r="DB53">
            <v>0</v>
          </cell>
          <cell r="DE53">
            <v>0</v>
          </cell>
          <cell r="DH53">
            <v>0</v>
          </cell>
          <cell r="DK53">
            <v>0</v>
          </cell>
          <cell r="DN53">
            <v>0</v>
          </cell>
        </row>
        <row r="54">
          <cell r="D54">
            <v>59173.304989208496</v>
          </cell>
          <cell r="E54">
            <v>35820.204919044103</v>
          </cell>
          <cell r="F54">
            <v>885.25583320261103</v>
          </cell>
          <cell r="G54">
            <v>6642.2115008463597</v>
          </cell>
          <cell r="H54">
            <v>6671.2136713700702</v>
          </cell>
          <cell r="I54">
            <v>2522.14673394893</v>
          </cell>
          <cell r="L54">
            <v>0</v>
          </cell>
          <cell r="O54">
            <v>0</v>
          </cell>
          <cell r="R54">
            <v>0</v>
          </cell>
          <cell r="U54">
            <v>3658.1275359800202</v>
          </cell>
          <cell r="X54">
            <v>5188.7040879637498</v>
          </cell>
          <cell r="AA54">
            <v>4387.2864480927101</v>
          </cell>
          <cell r="AD54">
            <v>3464.5389278907401</v>
          </cell>
          <cell r="AG54">
            <v>2160.6481617740101</v>
          </cell>
          <cell r="AJ54">
            <v>240.07201797489</v>
          </cell>
          <cell r="AM54">
            <v>0</v>
          </cell>
          <cell r="AP54">
            <v>0</v>
          </cell>
          <cell r="AS54">
            <v>0</v>
          </cell>
          <cell r="AV54">
            <v>0</v>
          </cell>
          <cell r="AY54">
            <v>0</v>
          </cell>
          <cell r="BB54">
            <v>0</v>
          </cell>
          <cell r="BE54">
            <v>0</v>
          </cell>
          <cell r="BH54">
            <v>0</v>
          </cell>
          <cell r="BK54">
            <v>0</v>
          </cell>
          <cell r="BN54">
            <v>0</v>
          </cell>
          <cell r="BQ54">
            <v>0</v>
          </cell>
          <cell r="BT54">
            <v>23353.100070164401</v>
          </cell>
          <cell r="BU54">
            <v>307.87699730586297</v>
          </cell>
          <cell r="BV54">
            <v>4002.0456093231301</v>
          </cell>
          <cell r="BW54">
            <v>4397.0450952965903</v>
          </cell>
          <cell r="BX54">
            <v>0</v>
          </cell>
          <cell r="CA54">
            <v>0</v>
          </cell>
          <cell r="CD54">
            <v>0</v>
          </cell>
          <cell r="CG54">
            <v>2911.6665502985402</v>
          </cell>
          <cell r="CJ54">
            <v>3658.1275359800202</v>
          </cell>
          <cell r="CM54">
            <v>3244.1882538314098</v>
          </cell>
          <cell r="CP54">
            <v>2174.6178944019198</v>
          </cell>
          <cell r="CS54">
            <v>1502.0833799326199</v>
          </cell>
          <cell r="CV54">
            <v>1039.90387841489</v>
          </cell>
          <cell r="CY54">
            <v>115.544875379432</v>
          </cell>
          <cell r="DB54">
            <v>0</v>
          </cell>
          <cell r="DE54">
            <v>0</v>
          </cell>
          <cell r="DH54">
            <v>0</v>
          </cell>
          <cell r="DK54">
            <v>0</v>
          </cell>
          <cell r="DN54">
            <v>0</v>
          </cell>
          <cell r="DQ54">
            <v>0</v>
          </cell>
          <cell r="DT54">
            <v>0</v>
          </cell>
          <cell r="DW54">
            <v>0</v>
          </cell>
          <cell r="DZ54">
            <v>0</v>
          </cell>
          <cell r="EC54">
            <v>0</v>
          </cell>
          <cell r="EF54">
            <v>0</v>
          </cell>
        </row>
      </sheetData>
      <sheetData sheetId="1">
        <row r="14">
          <cell r="D14">
            <v>460624.04924093001</v>
          </cell>
          <cell r="E14">
            <v>8458.76512</v>
          </cell>
          <cell r="F14">
            <v>1858.0643</v>
          </cell>
          <cell r="G14">
            <v>14609.55</v>
          </cell>
          <cell r="H14">
            <v>18383.39</v>
          </cell>
          <cell r="I14">
            <v>9957.5293408853995</v>
          </cell>
          <cell r="J14">
            <v>10944.7216710015</v>
          </cell>
          <cell r="K14">
            <v>6374.6543304617999</v>
          </cell>
          <cell r="L14">
            <v>3112.8847663567899</v>
          </cell>
          <cell r="M14">
            <v>4473.871452413</v>
          </cell>
          <cell r="N14">
            <v>4380.4805597045997</v>
          </cell>
          <cell r="O14">
            <v>16162.422318429601</v>
          </cell>
          <cell r="P14">
            <v>27839.055029359799</v>
          </cell>
          <cell r="Q14">
            <v>27839.055029359799</v>
          </cell>
          <cell r="R14">
            <v>27839.055029359799</v>
          </cell>
          <cell r="S14">
            <v>27839.055029359799</v>
          </cell>
          <cell r="T14">
            <v>27839.055029359799</v>
          </cell>
          <cell r="U14">
            <v>27839.055029359799</v>
          </cell>
          <cell r="V14">
            <v>27839.055029359799</v>
          </cell>
          <cell r="W14">
            <v>27839.055029359799</v>
          </cell>
          <cell r="X14">
            <v>27839.055029359799</v>
          </cell>
        </row>
        <row r="15">
          <cell r="D15">
            <v>82041.275179383898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2392.2757607365002</v>
          </cell>
          <cell r="Q15">
            <v>19079.949926728001</v>
          </cell>
          <cell r="R15">
            <v>17548.219341690699</v>
          </cell>
          <cell r="S15">
            <v>13050.924002646099</v>
          </cell>
          <cell r="T15">
            <v>10877.4284054411</v>
          </cell>
          <cell r="U15">
            <v>8681.0762149993097</v>
          </cell>
          <cell r="V15">
            <v>6405.9319473820296</v>
          </cell>
          <cell r="W15">
            <v>0</v>
          </cell>
          <cell r="X15">
            <v>4005.4695797600998</v>
          </cell>
        </row>
        <row r="17">
          <cell r="D17">
            <v>175531.29414254701</v>
          </cell>
          <cell r="E17">
            <v>6287.7894951487096</v>
          </cell>
          <cell r="F17">
            <v>17416.986066867601</v>
          </cell>
          <cell r="G17">
            <v>5051.1905239784301</v>
          </cell>
          <cell r="H17">
            <v>7131.0662456155997</v>
          </cell>
          <cell r="I17">
            <v>7730.5390133935398</v>
          </cell>
          <cell r="J17">
            <v>9783.6385431932995</v>
          </cell>
          <cell r="K17">
            <v>13334.263896995401</v>
          </cell>
          <cell r="L17">
            <v>18752.2034187889</v>
          </cell>
          <cell r="M17">
            <v>20529.1364292701</v>
          </cell>
          <cell r="N17">
            <v>21849.563717155699</v>
          </cell>
          <cell r="O17">
            <v>20415.176718366602</v>
          </cell>
          <cell r="P17">
            <v>24722.6662003536</v>
          </cell>
          <cell r="Q17">
            <v>2527.0738734198899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26">
          <cell r="D26">
            <v>242901.90527431201</v>
          </cell>
          <cell r="E26">
            <v>2791.4819599999901</v>
          </cell>
          <cell r="F26">
            <v>971.39</v>
          </cell>
          <cell r="G26">
            <v>9273.0865900000008</v>
          </cell>
          <cell r="H26">
            <v>0</v>
          </cell>
          <cell r="I26">
            <v>6839.5949889762096</v>
          </cell>
          <cell r="J26">
            <v>10003.337330177999</v>
          </cell>
          <cell r="K26">
            <v>9621.5714496441997</v>
          </cell>
          <cell r="L26">
            <v>4962.5263202757396</v>
          </cell>
          <cell r="M26">
            <v>6280.0704634452104</v>
          </cell>
          <cell r="N26">
            <v>12392.7277447862</v>
          </cell>
          <cell r="O26">
            <v>12805.5877447862</v>
          </cell>
          <cell r="P26">
            <v>12843.117744786199</v>
          </cell>
          <cell r="Q26">
            <v>12843.117744786199</v>
          </cell>
          <cell r="R26">
            <v>12843.117744786199</v>
          </cell>
          <cell r="S26">
            <v>12843.117744786199</v>
          </cell>
          <cell r="T26">
            <v>12843.117744786199</v>
          </cell>
          <cell r="U26">
            <v>12843.117744786199</v>
          </cell>
          <cell r="V26">
            <v>12843.117744786199</v>
          </cell>
          <cell r="W26">
            <v>12843.117744786199</v>
          </cell>
          <cell r="X26">
            <v>12843.117744786199</v>
          </cell>
        </row>
        <row r="27">
          <cell r="D27">
            <v>99960.117596864206</v>
          </cell>
          <cell r="E27">
            <v>0</v>
          </cell>
          <cell r="F27">
            <v>0</v>
          </cell>
          <cell r="G27">
            <v>5341.5634099999997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2392.2757607365002</v>
          </cell>
          <cell r="Q27">
            <v>19913.3752141064</v>
          </cell>
          <cell r="R27">
            <v>18055.5906879096</v>
          </cell>
          <cell r="S27">
            <v>14678.045698660901</v>
          </cell>
          <cell r="T27">
            <v>13055.3701304273</v>
          </cell>
          <cell r="U27">
            <v>11421.740805073099</v>
          </cell>
          <cell r="V27">
            <v>9740.5490934657391</v>
          </cell>
          <cell r="W27">
            <v>4126.3967964846697</v>
          </cell>
          <cell r="X27">
            <v>1235.20999999996</v>
          </cell>
        </row>
        <row r="29">
          <cell r="D29">
            <v>70869.4159574527</v>
          </cell>
          <cell r="E29">
            <v>2186.7867760377299</v>
          </cell>
          <cell r="F29">
            <v>10494.0308822849</v>
          </cell>
          <cell r="G29">
            <v>3329.2761426882398</v>
          </cell>
          <cell r="H29">
            <v>1991.0670877177299</v>
          </cell>
          <cell r="I29">
            <v>2209.9276532731201</v>
          </cell>
          <cell r="J29">
            <v>3121.88165461278</v>
          </cell>
          <cell r="K29">
            <v>4745.2907975663002</v>
          </cell>
          <cell r="L29">
            <v>7259.9049122737697</v>
          </cell>
          <cell r="M29">
            <v>8057.1731154733397</v>
          </cell>
          <cell r="N29">
            <v>8539.2458275877107</v>
          </cell>
          <cell r="O29">
            <v>7988.4744930434799</v>
          </cell>
          <cell r="P29">
            <v>9730.0947687943208</v>
          </cell>
          <cell r="Q29">
            <v>1216.2618460992901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7">
          <cell r="D37">
            <v>703525.95451524202</v>
          </cell>
        </row>
        <row r="38">
          <cell r="D38">
            <v>182001.39277624799</v>
          </cell>
        </row>
        <row r="40">
          <cell r="D40">
            <v>246400.7101</v>
          </cell>
        </row>
        <row r="56">
          <cell r="K56">
            <v>3189.3853544437302</v>
          </cell>
          <cell r="M56">
            <v>5041.5123774726999</v>
          </cell>
          <cell r="P56">
            <v>2160.6481617740101</v>
          </cell>
          <cell r="Q56">
            <v>240.07201797489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J57">
            <v>1397.46434385932</v>
          </cell>
          <cell r="K57">
            <v>4212.4841119460898</v>
          </cell>
          <cell r="M57">
            <v>10108.2954936796</v>
          </cell>
          <cell r="N57">
            <v>10108.2954936796</v>
          </cell>
          <cell r="P57">
            <v>20216.590987359199</v>
          </cell>
          <cell r="Q57">
            <v>2527.0738734198899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9">
          <cell r="J59">
            <v>623.671376435365</v>
          </cell>
          <cell r="L59">
            <v>2711.0535189474199</v>
          </cell>
          <cell r="M59">
            <v>2426.44238296808</v>
          </cell>
          <cell r="N59">
            <v>1964.2628814503501</v>
          </cell>
          <cell r="O59">
            <v>1502.0833799326199</v>
          </cell>
          <cell r="P59">
            <v>1039.90387841489</v>
          </cell>
          <cell r="Q59">
            <v>115.544875379432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J60">
            <v>672.58918728010201</v>
          </cell>
          <cell r="K60">
            <v>2027.4372492822499</v>
          </cell>
          <cell r="L60">
            <v>4249.86582280528</v>
          </cell>
          <cell r="M60">
            <v>4865.0473843971604</v>
          </cell>
          <cell r="N60">
            <v>4865.0473843971604</v>
          </cell>
          <cell r="P60">
            <v>9730.0947687943208</v>
          </cell>
          <cell r="Q60">
            <v>1216.2618460992901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</sheetData>
      <sheetData sheetId="2">
        <row r="4">
          <cell r="L4">
            <v>11250.247079999999</v>
          </cell>
          <cell r="O4">
            <v>11277.5848541832</v>
          </cell>
        </row>
        <row r="5">
          <cell r="L5">
            <v>2829.4542999999999</v>
          </cell>
          <cell r="O5">
            <v>16900.965152567202</v>
          </cell>
        </row>
        <row r="6">
          <cell r="L6">
            <v>29224.2</v>
          </cell>
          <cell r="O6">
            <v>28722.7480956361</v>
          </cell>
        </row>
        <row r="7">
          <cell r="L7">
            <v>18383.39</v>
          </cell>
          <cell r="O7">
            <v>38170.026996921202</v>
          </cell>
        </row>
        <row r="8">
          <cell r="L8">
            <v>16797.124329861599</v>
          </cell>
          <cell r="O8">
            <v>43028.627574724902</v>
          </cell>
        </row>
        <row r="9">
          <cell r="L9">
            <v>20948.059001179499</v>
          </cell>
          <cell r="M9">
            <v>22080.570998820502</v>
          </cell>
          <cell r="O9">
            <v>43028.627574724902</v>
          </cell>
        </row>
        <row r="10">
          <cell r="L10">
            <v>15996.225780106</v>
          </cell>
          <cell r="M10">
            <v>32478.599872840601</v>
          </cell>
          <cell r="O10">
            <v>43028.627574724902</v>
          </cell>
        </row>
        <row r="11">
          <cell r="L11">
            <v>8075.41108663253</v>
          </cell>
          <cell r="M11">
            <v>45440.829128338897</v>
          </cell>
          <cell r="O11">
            <v>43028.627574724902</v>
          </cell>
        </row>
        <row r="12">
          <cell r="L12">
            <v>10753.9419158582</v>
          </cell>
          <cell r="O12">
            <v>43028.627574724902</v>
          </cell>
        </row>
        <row r="13">
          <cell r="L13">
            <v>16773.208304490799</v>
          </cell>
          <cell r="O13">
            <v>43028.627574724902</v>
          </cell>
        </row>
        <row r="14">
          <cell r="L14">
            <v>28968.010063215799</v>
          </cell>
          <cell r="O14">
            <v>43028.627574724902</v>
          </cell>
        </row>
        <row r="15">
          <cell r="L15">
            <v>45466.724295619002</v>
          </cell>
          <cell r="O15">
            <v>43028.627574724902</v>
          </cell>
        </row>
        <row r="16">
          <cell r="L16">
            <v>79675.497914980398</v>
          </cell>
          <cell r="O16">
            <v>43028.627574724902</v>
          </cell>
        </row>
        <row r="17">
          <cell r="L17">
            <v>76285.982803746301</v>
          </cell>
          <cell r="O17">
            <v>43028.627574724902</v>
          </cell>
        </row>
        <row r="18">
          <cell r="L18">
            <v>68411.142475453002</v>
          </cell>
          <cell r="O18">
            <v>43028.627574724902</v>
          </cell>
        </row>
        <row r="19">
          <cell r="L19">
            <v>64614.9713100144</v>
          </cell>
          <cell r="O19">
            <v>43028.627574724902</v>
          </cell>
        </row>
        <row r="20">
          <cell r="L20">
            <v>60784.989794218403</v>
          </cell>
          <cell r="O20">
            <v>43028.627574724902</v>
          </cell>
        </row>
        <row r="21">
          <cell r="L21">
            <v>56828.653814993799</v>
          </cell>
          <cell r="O21">
            <v>43028.627574724902</v>
          </cell>
        </row>
        <row r="22">
          <cell r="L22">
            <v>44808.569570630701</v>
          </cell>
          <cell r="O22">
            <v>43028.627574724902</v>
          </cell>
        </row>
        <row r="23">
          <cell r="L23">
            <v>45922.852353906099</v>
          </cell>
          <cell r="O23">
            <v>43028.627574724902</v>
          </cell>
        </row>
        <row r="24">
          <cell r="L24">
            <v>40682.172774145998</v>
          </cell>
          <cell r="O24">
            <v>0</v>
          </cell>
        </row>
        <row r="25">
          <cell r="L25">
            <v>40682.172774145998</v>
          </cell>
          <cell r="O25">
            <v>0</v>
          </cell>
        </row>
        <row r="26">
          <cell r="L26">
            <v>40682.172774145998</v>
          </cell>
          <cell r="O26">
            <v>0</v>
          </cell>
        </row>
        <row r="27">
          <cell r="L27">
            <v>40682.172774145998</v>
          </cell>
          <cell r="O27">
            <v>0</v>
          </cell>
        </row>
      </sheetData>
      <sheetData sheetId="3">
        <row r="3">
          <cell r="D3">
            <v>22080570.998820499</v>
          </cell>
        </row>
        <row r="7">
          <cell r="E7">
            <v>32478599.872840598</v>
          </cell>
        </row>
        <row r="11">
          <cell r="F11">
            <v>45440829.128338903</v>
          </cell>
        </row>
        <row r="20">
          <cell r="D20">
            <v>1919.49730902075</v>
          </cell>
          <cell r="E20">
            <v>4724.4127867317102</v>
          </cell>
          <cell r="F20">
            <v>8343.9133666416092</v>
          </cell>
          <cell r="G20">
            <v>7467.9547604407799</v>
          </cell>
          <cell r="H20">
            <v>6045.4871870234902</v>
          </cell>
          <cell r="I20">
            <v>4623.0196136062004</v>
          </cell>
          <cell r="J20">
            <v>3200.5520401888998</v>
          </cell>
          <cell r="K20">
            <v>355.61689335432197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D21">
            <v>2070.0535311394201</v>
          </cell>
          <cell r="E21">
            <v>6239.9213612283402</v>
          </cell>
          <cell r="F21">
            <v>13079.9749977293</v>
          </cell>
          <cell r="G21">
            <v>14973.342878076701</v>
          </cell>
          <cell r="H21">
            <v>14973.342878076701</v>
          </cell>
          <cell r="I21">
            <v>14973.342878076701</v>
          </cell>
          <cell r="J21">
            <v>29946.6857561535</v>
          </cell>
          <cell r="K21">
            <v>3743.3357195191802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</sheetData>
      <sheetData sheetId="4">
        <row r="21">
          <cell r="EK21">
            <v>639880.52859907201</v>
          </cell>
        </row>
        <row r="22">
          <cell r="EK22">
            <v>524390.11124920205</v>
          </cell>
        </row>
        <row r="23">
          <cell r="EK23">
            <v>115490.41734987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TEHSHEET"/>
      <sheetName val="индексы"/>
      <sheetName val="Паспорт"/>
      <sheetName val="Заголовок2"/>
      <sheetName val="Лист1"/>
      <sheetName val="П 1"/>
      <sheetName val="П 4"/>
      <sheetName val="regs"/>
      <sheetName val="Справочники"/>
      <sheetName val="1"/>
      <sheetName val="REESTR_MO"/>
      <sheetName val="tsh"/>
      <sheetName val="Анализ"/>
      <sheetName val="11"/>
      <sheetName val="ORGS"/>
      <sheetName val="Обнулить"/>
      <sheetName val="Титульный"/>
      <sheetName val="таблица7 (технол.нужды)"/>
      <sheetName val="таблица7 (хоз.нужды)"/>
      <sheetName val="TSheet"/>
      <sheetName val="к2"/>
      <sheetName val="Контроль"/>
      <sheetName val="Заголовок"/>
      <sheetName val="П 21-1"/>
      <sheetName val="КУ1"/>
      <sheetName val="ИТ№4"/>
      <sheetName val="П№11"/>
      <sheetName val="П№12"/>
      <sheetName val="П№10"/>
      <sheetName val="данные"/>
      <sheetName val="П№5"/>
      <sheetName val="Т№2"/>
      <sheetName val="Лист3"/>
      <sheetName val="Смета"/>
      <sheetName val="2"/>
      <sheetName val="3"/>
      <sheetName val="4"/>
      <sheetName val="5"/>
      <sheetName val="6"/>
      <sheetName val="3.6.1."/>
      <sheetName val="REESTR"/>
      <sheetName val="FST5"/>
      <sheetName val="СЛ7"/>
      <sheetName val="СЛ3"/>
      <sheetName val="Титульный лист"/>
      <sheetName val="Инструкция"/>
      <sheetName val="Справочник"/>
      <sheetName val="Баланс"/>
      <sheetName val="0"/>
      <sheetName val="2.1"/>
      <sheetName val="2.2"/>
      <sheetName val="2.3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  <sheetName val="REESTR_MO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  <sheetName val="Лист2"/>
      <sheetName val="Паспорт"/>
      <sheetName val="Заголово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Р"/>
      <sheetName val="НВВ_нет"/>
      <sheetName val="ИП_2017-2036 (ВС_ВО)"/>
      <sheetName val="ТЭП ОС"/>
      <sheetName val="ТЭП Иное"/>
      <sheetName val="ТЭП Концессионера"/>
      <sheetName val="Перечень ОС"/>
      <sheetName val="Задание_в файле"/>
      <sheetName val="НиК"/>
      <sheetName val="Плата по 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2">
          <cell r="Q42">
            <v>19478.36</v>
          </cell>
          <cell r="R42">
            <v>19478.36</v>
          </cell>
          <cell r="S42">
            <v>19478.36</v>
          </cell>
          <cell r="T42">
            <v>19478.36</v>
          </cell>
          <cell r="U42">
            <v>19478.36</v>
          </cell>
          <cell r="V42">
            <v>19478.36</v>
          </cell>
          <cell r="W42">
            <v>19478.36</v>
          </cell>
          <cell r="X42">
            <v>19478.36</v>
          </cell>
          <cell r="Y42">
            <v>19478.36</v>
          </cell>
          <cell r="Z42">
            <v>19478.36</v>
          </cell>
          <cell r="AA42">
            <v>19478.36</v>
          </cell>
          <cell r="AB42">
            <v>19478.36</v>
          </cell>
          <cell r="AC42">
            <v>19478.36</v>
          </cell>
          <cell r="AD42">
            <v>19478.36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Д"/>
      <sheetName val="БалансВС_стр.1_3"/>
      <sheetName val="БалансВО_стр.1_2"/>
      <sheetName val="РСМ_ВС_ВО_стр.1"/>
      <sheetName val="РЭЭ_ВС_ВО_стр.1_2"/>
      <sheetName val="РТЭ_ВС_ВО_стр.1"/>
      <sheetName val="РТН_ВС_ВО_стр.1_2"/>
      <sheetName val="РТ_ВС_ВО_стр.1"/>
      <sheetName val="РХВ_ВС_ВО_стр.1"/>
      <sheetName val="РОТ_ВС_ВО_стр.1_3"/>
      <sheetName val="РОТ_РВД_стр.1"/>
      <sheetName val="ВК концессия основное  имущ"/>
      <sheetName val="АМ_ВС_ВО_стр.1_2"/>
      <sheetName val="Ремонты"/>
      <sheetName val="НИ_ВС_ВО"/>
      <sheetName val="ИФКВ_стр.1"/>
      <sheetName val="Индексы_стр.1_2"/>
      <sheetName val="ИИКА_стр.1"/>
      <sheetName val="РЭОР_стр.1"/>
      <sheetName val="РЭПЭЭ_стр.1_2"/>
      <sheetName val="РЭПЭР_стр.1_2"/>
      <sheetName val="Расчет_тарифа_стр.1_3"/>
      <sheetName val="Зад.ТРТ"/>
      <sheetName val="Расчет_тарифа_стр.1_3 (ПГ)"/>
      <sheetName val="Лист2"/>
      <sheetName val="Лист3"/>
      <sheetName val="Результат"/>
      <sheetName val="БУОР_стр.1_2"/>
      <sheetName val="НР_стр.1_2"/>
      <sheetName val="Тарифная моде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D15">
            <v>258649.72127046899</v>
          </cell>
          <cell r="G15">
            <v>269194</v>
          </cell>
          <cell r="H15">
            <v>280378.30709039699</v>
          </cell>
          <cell r="K15">
            <v>0</v>
          </cell>
          <cell r="AF15">
            <v>182819.06208306699</v>
          </cell>
          <cell r="AG15" t="str">
            <v>х</v>
          </cell>
          <cell r="AH15" t="str">
            <v>х</v>
          </cell>
          <cell r="AI15">
            <v>183166</v>
          </cell>
          <cell r="AJ15">
            <v>175618.199952316</v>
          </cell>
          <cell r="AK15" t="str">
            <v>х</v>
          </cell>
          <cell r="AL15" t="str">
            <v>х</v>
          </cell>
          <cell r="AM15">
            <v>0</v>
          </cell>
        </row>
        <row r="16">
          <cell r="D16">
            <v>241397.16336286999</v>
          </cell>
          <cell r="G16">
            <v>260880</v>
          </cell>
          <cell r="H16">
            <v>238832.14808660501</v>
          </cell>
          <cell r="K16">
            <v>0</v>
          </cell>
          <cell r="AF16">
            <v>164560.999983035</v>
          </cell>
          <cell r="AG16" t="str">
            <v>х</v>
          </cell>
          <cell r="AH16" t="str">
            <v>х</v>
          </cell>
          <cell r="AI16">
            <v>208454</v>
          </cell>
          <cell r="AJ16">
            <v>198950.78097108399</v>
          </cell>
          <cell r="AK16" t="str">
            <v>х</v>
          </cell>
          <cell r="AL16" t="str">
            <v>х</v>
          </cell>
          <cell r="AM16">
            <v>0</v>
          </cell>
        </row>
        <row r="17">
          <cell r="D17">
            <v>115030.50486502099</v>
          </cell>
          <cell r="G17">
            <v>158798</v>
          </cell>
          <cell r="H17">
            <v>122307.334284279</v>
          </cell>
          <cell r="K17">
            <v>0</v>
          </cell>
          <cell r="AF17">
            <v>91136.287557376898</v>
          </cell>
          <cell r="AG17" t="str">
            <v>х</v>
          </cell>
          <cell r="AH17" t="str">
            <v>х</v>
          </cell>
          <cell r="AI17">
            <v>143801</v>
          </cell>
          <cell r="AJ17">
            <v>117838.61607576501</v>
          </cell>
          <cell r="AK17" t="str">
            <v>х</v>
          </cell>
          <cell r="AL17" t="str">
            <v>х</v>
          </cell>
          <cell r="AM17">
            <v>0</v>
          </cell>
        </row>
        <row r="18">
          <cell r="D18">
            <v>1.048</v>
          </cell>
          <cell r="G18">
            <v>1.048</v>
          </cell>
          <cell r="H18">
            <v>1.048</v>
          </cell>
          <cell r="K18">
            <v>1.048</v>
          </cell>
          <cell r="AF18">
            <v>1.048</v>
          </cell>
          <cell r="AG18" t="str">
            <v>х</v>
          </cell>
          <cell r="AH18" t="str">
            <v>х</v>
          </cell>
          <cell r="AI18">
            <v>1.048</v>
          </cell>
          <cell r="AJ18">
            <v>1.048</v>
          </cell>
          <cell r="AK18" t="str">
            <v>х</v>
          </cell>
          <cell r="AL18" t="str">
            <v>х</v>
          </cell>
          <cell r="AM18">
            <v>1.048</v>
          </cell>
        </row>
        <row r="19">
          <cell r="D19">
            <v>0</v>
          </cell>
          <cell r="G19">
            <v>1.15533298403963</v>
          </cell>
          <cell r="H19">
            <v>0</v>
          </cell>
          <cell r="K19">
            <v>1.07490705190965</v>
          </cell>
          <cell r="AF19">
            <v>0</v>
          </cell>
          <cell r="AG19" t="str">
            <v>х</v>
          </cell>
          <cell r="AH19" t="str">
            <v>х</v>
          </cell>
          <cell r="AI19">
            <v>1.15533298403963</v>
          </cell>
          <cell r="AJ19">
            <v>0</v>
          </cell>
          <cell r="AK19" t="str">
            <v>х</v>
          </cell>
          <cell r="AL19" t="str">
            <v>х</v>
          </cell>
          <cell r="AM19">
            <v>1.07490705190965</v>
          </cell>
        </row>
        <row r="20">
          <cell r="D20">
            <v>0</v>
          </cell>
          <cell r="G20">
            <v>0</v>
          </cell>
          <cell r="H20">
            <v>0</v>
          </cell>
          <cell r="K20">
            <v>0</v>
          </cell>
          <cell r="AF20">
            <v>0</v>
          </cell>
          <cell r="AG20" t="str">
            <v>х</v>
          </cell>
          <cell r="AH20" t="str">
            <v>х</v>
          </cell>
          <cell r="AI20">
            <v>0</v>
          </cell>
          <cell r="AJ20">
            <v>0</v>
          </cell>
          <cell r="AK20" t="str">
            <v>х</v>
          </cell>
          <cell r="AL20" t="str">
            <v>х</v>
          </cell>
          <cell r="AM20">
            <v>0</v>
          </cell>
        </row>
        <row r="21">
          <cell r="D21">
            <v>89867.672808460906</v>
          </cell>
          <cell r="G21">
            <v>68655</v>
          </cell>
          <cell r="H21">
            <v>76534.923616440006</v>
          </cell>
          <cell r="K21">
            <v>0</v>
          </cell>
          <cell r="AF21">
            <v>30104.031127179202</v>
          </cell>
          <cell r="AG21" t="str">
            <v>х</v>
          </cell>
          <cell r="AH21" t="str">
            <v>х</v>
          </cell>
          <cell r="AI21">
            <v>27237</v>
          </cell>
          <cell r="AJ21">
            <v>32313.403269910101</v>
          </cell>
          <cell r="AK21" t="str">
            <v>х</v>
          </cell>
          <cell r="AL21" t="str">
            <v>х</v>
          </cell>
          <cell r="AM21">
            <v>0</v>
          </cell>
        </row>
        <row r="22">
          <cell r="D22">
            <v>36498.985689387497</v>
          </cell>
          <cell r="G22">
            <v>33427</v>
          </cell>
          <cell r="H22">
            <v>39989.890185885299</v>
          </cell>
          <cell r="K22">
            <v>0</v>
          </cell>
          <cell r="AF22">
            <v>43320.681298479401</v>
          </cell>
          <cell r="AG22" t="str">
            <v>х</v>
          </cell>
          <cell r="AH22" t="str">
            <v>х</v>
          </cell>
          <cell r="AI22">
            <v>37416</v>
          </cell>
          <cell r="AJ22">
            <v>48798.761625408799</v>
          </cell>
          <cell r="AK22" t="str">
            <v>х</v>
          </cell>
          <cell r="AL22" t="str">
            <v>х</v>
          </cell>
          <cell r="AM22">
            <v>0</v>
          </cell>
        </row>
        <row r="23">
          <cell r="D23">
            <v>1399</v>
          </cell>
          <cell r="G23">
            <v>0</v>
          </cell>
          <cell r="H23">
            <v>1399</v>
          </cell>
          <cell r="K23">
            <v>0</v>
          </cell>
          <cell r="AF23">
            <v>1284.5999999999999</v>
          </cell>
          <cell r="AG23" t="str">
            <v>х</v>
          </cell>
          <cell r="AH23" t="str">
            <v>х</v>
          </cell>
          <cell r="AI23">
            <v>0</v>
          </cell>
          <cell r="AJ23">
            <v>1284.5999999999999</v>
          </cell>
          <cell r="AK23" t="str">
            <v>х</v>
          </cell>
          <cell r="AL23" t="str">
            <v>х</v>
          </cell>
          <cell r="AM23">
            <v>0</v>
          </cell>
        </row>
        <row r="24">
          <cell r="D24">
            <v>0</v>
          </cell>
          <cell r="G24">
            <v>0</v>
          </cell>
          <cell r="H24">
            <v>0</v>
          </cell>
          <cell r="K24">
            <v>0</v>
          </cell>
          <cell r="AF24">
            <v>0</v>
          </cell>
          <cell r="AG24" t="str">
            <v>х</v>
          </cell>
          <cell r="AH24" t="str">
            <v>х</v>
          </cell>
          <cell r="AI24">
            <v>0</v>
          </cell>
          <cell r="AJ24">
            <v>0</v>
          </cell>
          <cell r="AK24" t="str">
            <v>х</v>
          </cell>
          <cell r="AL24" t="str">
            <v>х</v>
          </cell>
          <cell r="AM24">
            <v>0</v>
          </cell>
        </row>
        <row r="25">
          <cell r="D25">
            <v>4118.2501660991402</v>
          </cell>
          <cell r="G25">
            <v>4361</v>
          </cell>
          <cell r="H25">
            <v>5889.0266019839601</v>
          </cell>
          <cell r="K25">
            <v>0</v>
          </cell>
          <cell r="AF25">
            <v>8441.5870002688898</v>
          </cell>
          <cell r="AG25" t="str">
            <v>х</v>
          </cell>
          <cell r="AH25" t="str">
            <v>х</v>
          </cell>
          <cell r="AI25">
            <v>1914</v>
          </cell>
          <cell r="AJ25">
            <v>9789.3507026438601</v>
          </cell>
          <cell r="AK25" t="str">
            <v>х</v>
          </cell>
          <cell r="AL25" t="str">
            <v>х</v>
          </cell>
          <cell r="AM25">
            <v>0</v>
          </cell>
        </row>
        <row r="26">
          <cell r="D26">
            <v>866.48410865198605</v>
          </cell>
          <cell r="G26">
            <v>3953</v>
          </cell>
          <cell r="H26">
            <v>930.603932692233</v>
          </cell>
          <cell r="K26">
            <v>0</v>
          </cell>
          <cell r="AF26">
            <v>1431.3068102603299</v>
          </cell>
          <cell r="AG26" t="str">
            <v>х</v>
          </cell>
          <cell r="AH26" t="str">
            <v>х</v>
          </cell>
          <cell r="AI26">
            <v>-27202</v>
          </cell>
          <cell r="AJ26">
            <v>1710.4116382611001</v>
          </cell>
          <cell r="AK26" t="str">
            <v>х</v>
          </cell>
          <cell r="AL26" t="str">
            <v>х</v>
          </cell>
          <cell r="AM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K27">
            <v>0</v>
          </cell>
          <cell r="AF27">
            <v>0</v>
          </cell>
          <cell r="AG27" t="str">
            <v>х</v>
          </cell>
          <cell r="AH27" t="str">
            <v>х</v>
          </cell>
          <cell r="AI27">
            <v>0</v>
          </cell>
          <cell r="AJ27">
            <v>0</v>
          </cell>
          <cell r="AK27" t="str">
            <v>х</v>
          </cell>
          <cell r="AL27" t="str">
            <v>х</v>
          </cell>
          <cell r="AM27">
            <v>0</v>
          </cell>
        </row>
        <row r="28">
          <cell r="D28">
            <v>866.48410865198605</v>
          </cell>
          <cell r="G28">
            <v>3953</v>
          </cell>
          <cell r="H28">
            <v>930.603932692233</v>
          </cell>
          <cell r="K28">
            <v>0</v>
          </cell>
          <cell r="AF28">
            <v>1431.3068102603299</v>
          </cell>
          <cell r="AG28" t="str">
            <v>х</v>
          </cell>
          <cell r="AH28" t="str">
            <v>х</v>
          </cell>
          <cell r="AI28">
            <v>-27202</v>
          </cell>
          <cell r="AJ28">
            <v>1710.4116382611001</v>
          </cell>
          <cell r="AK28" t="str">
            <v>х</v>
          </cell>
          <cell r="AL28" t="str">
            <v>х</v>
          </cell>
          <cell r="AM28">
            <v>0</v>
          </cell>
        </row>
        <row r="29">
          <cell r="D29">
            <v>12267.8236328484</v>
          </cell>
          <cell r="G29">
            <v>0</v>
          </cell>
          <cell r="H29">
            <v>12226.5284691162</v>
          </cell>
          <cell r="K29">
            <v>0</v>
          </cell>
          <cell r="AF29">
            <v>8385.1682895027807</v>
          </cell>
          <cell r="AG29" t="str">
            <v>х</v>
          </cell>
          <cell r="AH29" t="str">
            <v>х</v>
          </cell>
          <cell r="AI29">
            <v>0</v>
          </cell>
          <cell r="AJ29">
            <v>10167.656640326401</v>
          </cell>
          <cell r="AK29" t="str">
            <v>х</v>
          </cell>
          <cell r="AL29" t="str">
            <v>х</v>
          </cell>
          <cell r="AM29">
            <v>0</v>
          </cell>
        </row>
        <row r="30">
          <cell r="D30">
            <v>0</v>
          </cell>
          <cell r="G30">
            <v>0</v>
          </cell>
          <cell r="H30">
            <v>22500</v>
          </cell>
          <cell r="K30">
            <v>0</v>
          </cell>
          <cell r="AF30">
            <v>0</v>
          </cell>
          <cell r="AI30">
            <v>0</v>
          </cell>
          <cell r="AJ30">
            <v>-22500</v>
          </cell>
          <cell r="AM30">
            <v>0</v>
          </cell>
        </row>
        <row r="43">
          <cell r="D43">
            <v>12928</v>
          </cell>
          <cell r="E43">
            <v>6547.2787901199999</v>
          </cell>
          <cell r="F43">
            <v>6380.2327613400003</v>
          </cell>
          <cell r="G43">
            <v>12841.530527999999</v>
          </cell>
          <cell r="H43">
            <v>12927.511995086699</v>
          </cell>
          <cell r="I43">
            <v>6538.5237301983198</v>
          </cell>
          <cell r="J43">
            <v>6388.50027839633</v>
          </cell>
          <cell r="K43">
            <v>12421.07</v>
          </cell>
        </row>
        <row r="44">
          <cell r="D44">
            <v>9389.7934275999996</v>
          </cell>
          <cell r="E44">
            <v>4772.7370002999996</v>
          </cell>
          <cell r="F44">
            <v>4617.0564273</v>
          </cell>
          <cell r="G44">
            <v>9251.2999999999993</v>
          </cell>
          <cell r="H44">
            <v>9250.6089100867393</v>
          </cell>
          <cell r="I44">
            <v>4684.6189100867396</v>
          </cell>
          <cell r="J44">
            <v>4565.99</v>
          </cell>
          <cell r="K44">
            <v>9170.0300000000007</v>
          </cell>
        </row>
        <row r="45">
          <cell r="D45">
            <v>2306.3331238599999</v>
          </cell>
          <cell r="E45">
            <v>1162.05110847644</v>
          </cell>
          <cell r="F45">
            <v>1144.2820153835601</v>
          </cell>
          <cell r="G45">
            <v>2911.3</v>
          </cell>
          <cell r="H45">
            <v>2462.3530850000002</v>
          </cell>
          <cell r="I45">
            <v>1241.6516449999999</v>
          </cell>
          <cell r="J45">
            <v>1220.70144</v>
          </cell>
          <cell r="K45">
            <v>2119.4399826328699</v>
          </cell>
        </row>
        <row r="46">
          <cell r="D46">
            <v>1231.385</v>
          </cell>
          <cell r="E46">
            <v>612.49068134356105</v>
          </cell>
          <cell r="F46">
            <v>618.89431865643905</v>
          </cell>
          <cell r="G46">
            <v>678.8</v>
          </cell>
          <cell r="H46">
            <v>1214.55</v>
          </cell>
          <cell r="I46">
            <v>612.5</v>
          </cell>
          <cell r="J46">
            <v>602.04999999999995</v>
          </cell>
          <cell r="K46">
            <v>1131.60001736713</v>
          </cell>
        </row>
        <row r="63">
          <cell r="D63">
            <v>258649.72127046899</v>
          </cell>
          <cell r="E63">
            <v>130096.390975066</v>
          </cell>
          <cell r="F63">
            <v>128553.33029540299</v>
          </cell>
          <cell r="G63">
            <v>269194</v>
          </cell>
          <cell r="H63">
            <v>280378.30709039699</v>
          </cell>
          <cell r="I63">
            <v>143181.70759575599</v>
          </cell>
          <cell r="J63">
            <v>137196.59949464101</v>
          </cell>
          <cell r="K63">
            <v>0</v>
          </cell>
        </row>
        <row r="65">
          <cell r="D65">
            <v>20.006940073520202</v>
          </cell>
          <cell r="E65">
            <v>19.87029957719</v>
          </cell>
          <cell r="F65">
            <v>20.148689727175999</v>
          </cell>
          <cell r="G65">
            <v>20.962766035796299</v>
          </cell>
          <cell r="H65">
            <v>21.688497152194302</v>
          </cell>
          <cell r="I65">
            <v>21.8981705204293</v>
          </cell>
          <cell r="J65">
            <v>21.4755566276786</v>
          </cell>
          <cell r="K65">
            <v>0</v>
          </cell>
        </row>
        <row r="66">
          <cell r="D66">
            <v>16.862813872367099</v>
          </cell>
          <cell r="E66">
            <v>16.14</v>
          </cell>
          <cell r="F66">
            <v>17.61</v>
          </cell>
          <cell r="G66">
            <v>16.862813872367099</v>
          </cell>
          <cell r="H66">
            <v>18.461824382458499</v>
          </cell>
          <cell r="I66">
            <v>17.61</v>
          </cell>
          <cell r="J66">
            <v>19.33578</v>
          </cell>
          <cell r="K66">
            <v>18.461824382458499</v>
          </cell>
        </row>
        <row r="67">
          <cell r="D67">
            <v>30.7996759993176</v>
          </cell>
          <cell r="E67">
            <v>29.47</v>
          </cell>
          <cell r="F67">
            <v>32.15</v>
          </cell>
          <cell r="G67">
            <v>30.7996759993176</v>
          </cell>
          <cell r="H67">
            <v>33.176949902272398</v>
          </cell>
          <cell r="I67">
            <v>32.15</v>
          </cell>
          <cell r="J67">
            <v>34.221524762026</v>
          </cell>
          <cell r="K67">
            <v>33.176949902272398</v>
          </cell>
        </row>
        <row r="68">
          <cell r="D68">
            <v>52.1918048024787</v>
          </cell>
          <cell r="E68">
            <v>49.91</v>
          </cell>
          <cell r="F68">
            <v>54.45</v>
          </cell>
          <cell r="G68">
            <v>52.1918048024787</v>
          </cell>
          <cell r="H68">
            <v>44.422785379752</v>
          </cell>
          <cell r="I68">
            <v>54.45</v>
          </cell>
          <cell r="J68">
            <v>34.221524762026</v>
          </cell>
          <cell r="K68">
            <v>44.422785379752</v>
          </cell>
        </row>
        <row r="69"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>
            <v>1.08400776816305</v>
          </cell>
          <cell r="I69">
            <v>1.1005817034786001</v>
          </cell>
          <cell r="J69">
            <v>1.06723489138225</v>
          </cell>
          <cell r="K69">
            <v>0</v>
          </cell>
        </row>
        <row r="70">
          <cell r="D70" t="str">
            <v>х</v>
          </cell>
          <cell r="E70" t="str">
            <v>х</v>
          </cell>
          <cell r="F70" t="str">
            <v>х</v>
          </cell>
          <cell r="G70" t="str">
            <v>х</v>
          </cell>
          <cell r="H70">
            <v>1.08404868872975</v>
          </cell>
          <cell r="I70">
            <v>1.1020553784487099</v>
          </cell>
          <cell r="J70">
            <v>1.06585375617318</v>
          </cell>
          <cell r="K70">
            <v>0</v>
          </cell>
        </row>
      </sheetData>
      <sheetData sheetId="22"/>
      <sheetData sheetId="23"/>
      <sheetData sheetId="24"/>
      <sheetData sheetId="25"/>
      <sheetData sheetId="26"/>
      <sheetData sheetId="27">
        <row r="13">
          <cell r="D13">
            <v>98366.558094967695</v>
          </cell>
          <cell r="E13">
            <v>80468</v>
          </cell>
          <cell r="F13">
            <v>104584.960552744</v>
          </cell>
          <cell r="G13">
            <v>0</v>
          </cell>
          <cell r="AB13">
            <v>105074.295038335</v>
          </cell>
          <cell r="AC13">
            <v>90680</v>
          </cell>
          <cell r="AD13">
            <v>111131.912650015</v>
          </cell>
          <cell r="AE13">
            <v>0</v>
          </cell>
        </row>
        <row r="14">
          <cell r="D14">
            <v>10863.825256247401</v>
          </cell>
          <cell r="E14">
            <v>13486</v>
          </cell>
          <cell r="F14">
            <v>11551.0708419576</v>
          </cell>
          <cell r="G14">
            <v>0</v>
          </cell>
          <cell r="AB14">
            <v>5850.5097657832202</v>
          </cell>
          <cell r="AC14">
            <v>10506</v>
          </cell>
          <cell r="AD14">
            <v>6220.6130135666699</v>
          </cell>
          <cell r="AE14">
            <v>0</v>
          </cell>
        </row>
        <row r="16">
          <cell r="D16">
            <v>72512.601421173895</v>
          </cell>
          <cell r="E16">
            <v>42542</v>
          </cell>
          <cell r="F16">
            <v>77095.482579766307</v>
          </cell>
          <cell r="G16">
            <v>0</v>
          </cell>
          <cell r="AB16">
            <v>89862.673453906798</v>
          </cell>
          <cell r="AC16">
            <v>59425</v>
          </cell>
          <cell r="AD16">
            <v>94958.0038841559</v>
          </cell>
          <cell r="AE16">
            <v>0</v>
          </cell>
        </row>
        <row r="17">
          <cell r="D17">
            <v>16819.359162207798</v>
          </cell>
          <cell r="E17">
            <v>9567</v>
          </cell>
          <cell r="F17">
            <v>17882.362318809101</v>
          </cell>
          <cell r="G17">
            <v>0</v>
          </cell>
          <cell r="AB17">
            <v>20843.723028479199</v>
          </cell>
          <cell r="AC17">
            <v>13474</v>
          </cell>
          <cell r="AD17">
            <v>22025.5892265861</v>
          </cell>
          <cell r="AE17">
            <v>0</v>
          </cell>
        </row>
        <row r="19">
          <cell r="D19">
            <v>3345.55736844176</v>
          </cell>
          <cell r="E19">
            <v>16718</v>
          </cell>
          <cell r="F19">
            <v>3557.1973275693799</v>
          </cell>
          <cell r="G19">
            <v>0</v>
          </cell>
          <cell r="AB19">
            <v>2394.7034591362399</v>
          </cell>
          <cell r="AC19">
            <v>11455</v>
          </cell>
          <cell r="AD19">
            <v>2546.1923999611899</v>
          </cell>
          <cell r="AE19">
            <v>0</v>
          </cell>
        </row>
        <row r="27">
          <cell r="D27">
            <v>11644.5740491047</v>
          </cell>
          <cell r="E27">
            <v>7722</v>
          </cell>
          <cell r="F27">
            <v>12381.2098034511</v>
          </cell>
          <cell r="G27">
            <v>0</v>
          </cell>
          <cell r="AB27">
            <v>6966.4083595088796</v>
          </cell>
          <cell r="AC27">
            <v>9294</v>
          </cell>
          <cell r="AD27">
            <v>7407.10335233142</v>
          </cell>
          <cell r="AE27">
            <v>0</v>
          </cell>
        </row>
        <row r="28">
          <cell r="D28">
            <v>11883.7431236257</v>
          </cell>
          <cell r="E28">
            <v>10634</v>
          </cell>
          <cell r="F28">
            <v>12635.682969106299</v>
          </cell>
          <cell r="G28">
            <v>0</v>
          </cell>
          <cell r="AB28">
            <v>2849.2865756429101</v>
          </cell>
          <cell r="AC28">
            <v>9456</v>
          </cell>
          <cell r="AD28">
            <v>3029.9730785748702</v>
          </cell>
          <cell r="AE28">
            <v>0</v>
          </cell>
        </row>
        <row r="29">
          <cell r="D29">
            <v>4780.2036464277598</v>
          </cell>
          <cell r="E29">
            <v>67696</v>
          </cell>
          <cell r="F29">
            <v>5086.6907624285504</v>
          </cell>
          <cell r="G29">
            <v>0</v>
          </cell>
          <cell r="AB29">
            <v>-16787.2940566012</v>
          </cell>
          <cell r="AC29">
            <v>43665</v>
          </cell>
          <cell r="AD29">
            <v>3676.7303471752998</v>
          </cell>
          <cell r="AE29">
            <v>0</v>
          </cell>
        </row>
      </sheetData>
      <sheetData sheetId="28">
        <row r="13">
          <cell r="D13">
            <v>12980.157247880001</v>
          </cell>
          <cell r="E13">
            <v>12032</v>
          </cell>
          <cell r="F13">
            <v>13986.102252500001</v>
          </cell>
          <cell r="G13">
            <v>0</v>
          </cell>
          <cell r="AB13">
            <v>11656.6083927115</v>
          </cell>
          <cell r="AC13">
            <v>11128</v>
          </cell>
          <cell r="AD13">
            <v>12072.9</v>
          </cell>
          <cell r="AE13">
            <v>0</v>
          </cell>
        </row>
        <row r="16">
          <cell r="D16">
            <v>0</v>
          </cell>
          <cell r="E16">
            <v>0</v>
          </cell>
          <cell r="F16">
            <v>765.02549999999997</v>
          </cell>
          <cell r="G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12980.157247880001</v>
          </cell>
          <cell r="E17">
            <v>12032</v>
          </cell>
          <cell r="F17">
            <v>13221.076752499999</v>
          </cell>
          <cell r="G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25">
          <cell r="D25">
            <v>1843.5102787303799</v>
          </cell>
          <cell r="E25">
            <v>1679</v>
          </cell>
          <cell r="F25">
            <v>4242.8705706081801</v>
          </cell>
          <cell r="G25">
            <v>0</v>
          </cell>
          <cell r="AB25">
            <v>3105.06040116235</v>
          </cell>
          <cell r="AC25">
            <v>2535</v>
          </cell>
          <cell r="AD25">
            <v>8248.7349208032792</v>
          </cell>
          <cell r="AE25">
            <v>0</v>
          </cell>
        </row>
        <row r="26">
          <cell r="D26">
            <v>158.94087200125199</v>
          </cell>
          <cell r="E26">
            <v>0</v>
          </cell>
          <cell r="F26">
            <v>190.605624768289</v>
          </cell>
          <cell r="G26">
            <v>0</v>
          </cell>
          <cell r="AB26">
            <v>262.54740306550502</v>
          </cell>
          <cell r="AC26">
            <v>0</v>
          </cell>
          <cell r="AD26">
            <v>350.32527530649003</v>
          </cell>
          <cell r="AE26">
            <v>0</v>
          </cell>
        </row>
        <row r="27">
          <cell r="D27">
            <v>133.12115972920299</v>
          </cell>
          <cell r="E27">
            <v>228</v>
          </cell>
          <cell r="F27">
            <v>308.20140636945899</v>
          </cell>
          <cell r="G27">
            <v>0</v>
          </cell>
          <cell r="AB27">
            <v>105.88608510255401</v>
          </cell>
          <cell r="AC27">
            <v>155</v>
          </cell>
          <cell r="AD27">
            <v>196.41301127054101</v>
          </cell>
          <cell r="AE27">
            <v>0</v>
          </cell>
        </row>
        <row r="28">
          <cell r="D28">
            <v>1475.4873158069599</v>
          </cell>
          <cell r="E28">
            <v>1376</v>
          </cell>
          <cell r="F28">
            <v>3648.6253446651799</v>
          </cell>
          <cell r="G28">
            <v>0</v>
          </cell>
          <cell r="AB28">
            <v>2003.3751056169799</v>
          </cell>
          <cell r="AC28">
            <v>2061</v>
          </cell>
          <cell r="AD28">
            <v>2136.9759357228299</v>
          </cell>
          <cell r="AE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26.012014171995101</v>
          </cell>
          <cell r="E31">
            <v>58</v>
          </cell>
          <cell r="F31">
            <v>51.698386496586402</v>
          </cell>
          <cell r="G31">
            <v>0</v>
          </cell>
          <cell r="AB31">
            <v>43.948538868674703</v>
          </cell>
          <cell r="AC31">
            <v>28</v>
          </cell>
          <cell r="AD31">
            <v>35.990698503413597</v>
          </cell>
          <cell r="AE31">
            <v>0</v>
          </cell>
        </row>
        <row r="32">
          <cell r="D32">
            <v>49.948917020966398</v>
          </cell>
          <cell r="E32">
            <v>17</v>
          </cell>
          <cell r="F32">
            <v>43.739808308665303</v>
          </cell>
          <cell r="G32">
            <v>0</v>
          </cell>
          <cell r="AB32">
            <v>689.30326850863901</v>
          </cell>
          <cell r="AC32">
            <v>291</v>
          </cell>
          <cell r="AD32">
            <v>5529.03</v>
          </cell>
          <cell r="A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D34">
            <v>17874.537362777199</v>
          </cell>
          <cell r="E34">
            <v>19716</v>
          </cell>
          <cell r="F34">
            <v>17874.537362777199</v>
          </cell>
          <cell r="G34">
            <v>0</v>
          </cell>
          <cell r="AB34">
            <v>25464.206704605502</v>
          </cell>
          <cell r="AC34">
            <v>23753</v>
          </cell>
          <cell r="AD34">
            <v>25464.206704605502</v>
          </cell>
          <cell r="AE34">
            <v>0</v>
          </cell>
        </row>
        <row r="35">
          <cell r="D35">
            <v>17874.537362777199</v>
          </cell>
          <cell r="E35">
            <v>19716</v>
          </cell>
          <cell r="F35">
            <v>17874.537362777199</v>
          </cell>
          <cell r="G35">
            <v>0</v>
          </cell>
          <cell r="AB35">
            <v>25464.206704605502</v>
          </cell>
          <cell r="AC35">
            <v>23753</v>
          </cell>
          <cell r="AD35">
            <v>25464.206704605502</v>
          </cell>
          <cell r="AE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2401.7808</v>
          </cell>
          <cell r="E38">
            <v>0</v>
          </cell>
          <cell r="F38">
            <v>2487.38</v>
          </cell>
          <cell r="G38">
            <v>0</v>
          </cell>
          <cell r="AB38">
            <v>1810.2058</v>
          </cell>
          <cell r="AC38">
            <v>0</v>
          </cell>
          <cell r="AD38">
            <v>1728.32</v>
          </cell>
          <cell r="AE38">
            <v>0</v>
          </cell>
        </row>
        <row r="39">
          <cell r="D39">
            <v>2401.7808</v>
          </cell>
          <cell r="E39">
            <v>0</v>
          </cell>
          <cell r="F39">
            <v>2487.38</v>
          </cell>
          <cell r="G39">
            <v>0</v>
          </cell>
          <cell r="AB39">
            <v>1810.2058</v>
          </cell>
          <cell r="AC39">
            <v>0</v>
          </cell>
          <cell r="AD39">
            <v>1728.32</v>
          </cell>
          <cell r="AE39">
            <v>0</v>
          </cell>
        </row>
        <row r="43">
          <cell r="D43">
            <v>1399</v>
          </cell>
          <cell r="E43">
            <v>0</v>
          </cell>
          <cell r="F43">
            <v>1399</v>
          </cell>
          <cell r="G43">
            <v>0</v>
          </cell>
          <cell r="AB43">
            <v>1284.5999999999999</v>
          </cell>
          <cell r="AC43">
            <v>0</v>
          </cell>
          <cell r="AD43">
            <v>1284.5999999999999</v>
          </cell>
          <cell r="AE43">
            <v>0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Д"/>
      <sheetName val="БалансВС_стр.1_3"/>
      <sheetName val="БалансВО_стр.1_2"/>
      <sheetName val="РСМ_ВС_ВО_стр.1"/>
      <sheetName val="РЭЭ_ВС_ВО_стр.1_2"/>
      <sheetName val="РТЭ_ВС_ВО_стр.1"/>
      <sheetName val="РТН_ВС_ВО_стр.1_2"/>
      <sheetName val="РТ_ВС_ВО_стр.1"/>
      <sheetName val="РХВ_ВС_ВО_стр.1"/>
      <sheetName val="РОТ_ВС_ВО_стр.1_3"/>
      <sheetName val="РОТ_РВД_стр.1"/>
      <sheetName val="ВК концессия основное  имущ"/>
      <sheetName val="АМ_ВС_ВО_стр.1_2"/>
      <sheetName val="Ремонты"/>
      <sheetName val="НИ_ВС_ВО"/>
      <sheetName val="ИФКВ_стр.1"/>
      <sheetName val="Индексы_стр.1_2"/>
      <sheetName val="ИИКА_стр.1"/>
      <sheetName val="РЭОР_стр.1"/>
      <sheetName val="РЭПЭЭ_стр.1_2"/>
      <sheetName val="РЭПЭР_стр.1_2"/>
      <sheetName val="Расчет_тарифа_стр.1_3"/>
      <sheetName val="Зад.ТРТ"/>
      <sheetName val="Расчет_тарифа_стр.1_3 (ПГ)"/>
      <sheetName val="Лист2"/>
      <sheetName val="Лист3"/>
      <sheetName val="Результат"/>
      <sheetName val="БУОР_стр.1_2"/>
      <sheetName val="НР_стр.1_2"/>
      <sheetName val="Тарифная моде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Зnew"/>
    </sheetNames>
    <sheetDataSet>
      <sheetData sheetId="0">
        <row r="269">
          <cell r="AL269">
            <v>24.059488828746399</v>
          </cell>
        </row>
        <row r="270">
          <cell r="AL270">
            <v>57.540545051755302</v>
          </cell>
        </row>
        <row r="370">
          <cell r="L370">
            <v>1.0281412527695399</v>
          </cell>
        </row>
        <row r="372">
          <cell r="AL372">
            <v>25.272793541329701</v>
          </cell>
        </row>
        <row r="373">
          <cell r="AL373">
            <v>58.722660996644102</v>
          </cell>
        </row>
        <row r="375">
          <cell r="K375">
            <v>1.0749477017833799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69"/>
  <sheetViews>
    <sheetView view="pageBreakPreview" topLeftCell="K1" zoomScale="60" zoomScaleNormal="130" workbookViewId="0">
      <selection activeCell="U1" sqref="U1:AC1"/>
    </sheetView>
  </sheetViews>
  <sheetFormatPr defaultRowHeight="15" outlineLevelCol="1"/>
  <cols>
    <col min="1" max="1" width="9.140625" style="474" customWidth="1"/>
    <col min="2" max="2" width="72.5703125" style="475" customWidth="1"/>
    <col min="3" max="3" width="9.28515625" style="475" customWidth="1"/>
    <col min="4" max="4" width="9.7109375" style="476" customWidth="1"/>
    <col min="5" max="5" width="7.7109375" style="476" customWidth="1"/>
    <col min="6" max="6" width="14.140625" style="521" customWidth="1" outlineLevel="1"/>
    <col min="7" max="9" width="14.140625" style="522" customWidth="1" outlineLevel="1"/>
    <col min="10" max="10" width="14.140625" style="477" customWidth="1" outlineLevel="1"/>
    <col min="11" max="11" width="14.140625" style="475" customWidth="1"/>
    <col min="12" max="29" width="11.42578125" style="475" customWidth="1"/>
    <col min="30" max="1025" width="9.140625" style="475" customWidth="1"/>
  </cols>
  <sheetData>
    <row r="1" spans="1:29" ht="58.5" customHeight="1">
      <c r="A1" s="561"/>
      <c r="B1" s="562"/>
      <c r="C1" s="562"/>
      <c r="D1" s="563"/>
      <c r="E1" s="563"/>
      <c r="F1" s="566"/>
      <c r="G1" s="567"/>
      <c r="H1" s="567"/>
      <c r="I1" s="567"/>
      <c r="J1" s="564"/>
      <c r="K1" s="562"/>
      <c r="L1" s="562"/>
      <c r="M1" s="562"/>
      <c r="N1" s="562"/>
      <c r="O1" s="565"/>
      <c r="P1" s="565"/>
      <c r="Q1" s="565"/>
      <c r="R1" s="565"/>
      <c r="S1" s="565"/>
      <c r="T1" s="565"/>
      <c r="U1" s="573" t="s">
        <v>725</v>
      </c>
      <c r="V1" s="574"/>
      <c r="W1" s="574"/>
      <c r="X1" s="574"/>
      <c r="Y1" s="574"/>
      <c r="Z1" s="574"/>
      <c r="AA1" s="574"/>
      <c r="AB1" s="574"/>
      <c r="AC1" s="574"/>
    </row>
    <row r="2" spans="1:29" ht="15.75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72"/>
      <c r="X2" s="572"/>
      <c r="Y2" s="572"/>
      <c r="Z2" s="572"/>
      <c r="AA2" s="572"/>
      <c r="AB2" s="572"/>
      <c r="AC2" s="572"/>
    </row>
    <row r="3" spans="1:29" ht="43.5" customHeight="1">
      <c r="A3" s="569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73" t="s">
        <v>724</v>
      </c>
      <c r="V3" s="575"/>
      <c r="W3" s="575"/>
      <c r="X3" s="575"/>
      <c r="Y3" s="575"/>
      <c r="Z3" s="575"/>
      <c r="AA3" s="575"/>
      <c r="AB3" s="575"/>
      <c r="AC3" s="575"/>
    </row>
    <row r="4" spans="1:29" ht="31.5" customHeight="1">
      <c r="A4" s="576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</row>
    <row r="5" spans="1:29" ht="15" customHeight="1">
      <c r="A5" s="578" t="s">
        <v>0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</row>
    <row r="6" spans="1:29" ht="20.25" customHeight="1">
      <c r="A6" s="578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</row>
    <row r="7" spans="1:29" ht="34.5" customHeight="1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</row>
    <row r="8" spans="1:29" s="473" customFormat="1" ht="15.75" customHeight="1">
      <c r="A8" s="581" t="s">
        <v>1</v>
      </c>
      <c r="B8" s="579" t="s">
        <v>2</v>
      </c>
      <c r="C8" s="579" t="s">
        <v>3</v>
      </c>
      <c r="D8" s="579" t="s">
        <v>4</v>
      </c>
      <c r="E8" s="579" t="s">
        <v>5</v>
      </c>
      <c r="F8" s="580" t="s">
        <v>6</v>
      </c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</row>
    <row r="9" spans="1:29" s="473" customFormat="1" ht="15.75" customHeight="1">
      <c r="A9" s="581"/>
      <c r="B9" s="579"/>
      <c r="C9" s="579"/>
      <c r="D9" s="579"/>
      <c r="E9" s="579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</row>
    <row r="10" spans="1:29" s="473" customFormat="1" ht="15.75" customHeight="1">
      <c r="A10" s="581"/>
      <c r="B10" s="579"/>
      <c r="C10" s="579"/>
      <c r="D10" s="579"/>
      <c r="E10" s="579"/>
      <c r="F10" s="524">
        <v>2017</v>
      </c>
      <c r="G10" s="524">
        <v>2018</v>
      </c>
      <c r="H10" s="524">
        <v>2019</v>
      </c>
      <c r="I10" s="524">
        <v>2020</v>
      </c>
      <c r="J10" s="501">
        <v>2021</v>
      </c>
      <c r="K10" s="299">
        <v>2022</v>
      </c>
      <c r="L10" s="299">
        <v>2023</v>
      </c>
      <c r="M10" s="299">
        <v>2024</v>
      </c>
      <c r="N10" s="299">
        <v>2025</v>
      </c>
      <c r="O10" s="299">
        <v>2026</v>
      </c>
      <c r="P10" s="299">
        <v>2027</v>
      </c>
      <c r="Q10" s="299">
        <v>2028</v>
      </c>
      <c r="R10" s="299">
        <v>2029</v>
      </c>
      <c r="S10" s="299">
        <v>2030</v>
      </c>
      <c r="T10" s="299">
        <v>2031</v>
      </c>
      <c r="U10" s="299">
        <v>2032</v>
      </c>
      <c r="V10" s="299">
        <v>2033</v>
      </c>
      <c r="W10" s="299">
        <v>2034</v>
      </c>
      <c r="X10" s="299">
        <v>2035</v>
      </c>
      <c r="Y10" s="299">
        <v>2036</v>
      </c>
      <c r="Z10" s="299">
        <v>2037</v>
      </c>
      <c r="AA10" s="299">
        <v>2038</v>
      </c>
      <c r="AB10" s="299">
        <v>2039</v>
      </c>
      <c r="AC10" s="299">
        <v>2040</v>
      </c>
    </row>
    <row r="11" spans="1:29" s="473" customFormat="1" ht="15.75">
      <c r="A11" s="581"/>
      <c r="B11" s="579"/>
      <c r="C11" s="579"/>
      <c r="D11" s="579"/>
      <c r="E11" s="579"/>
      <c r="F11" s="524" t="s">
        <v>7</v>
      </c>
      <c r="G11" s="524" t="s">
        <v>7</v>
      </c>
      <c r="H11" s="524" t="s">
        <v>7</v>
      </c>
      <c r="I11" s="524" t="s">
        <v>7</v>
      </c>
      <c r="J11" s="501" t="s">
        <v>8</v>
      </c>
      <c r="K11" s="299" t="s">
        <v>8</v>
      </c>
      <c r="L11" s="299" t="s">
        <v>8</v>
      </c>
      <c r="M11" s="299" t="s">
        <v>8</v>
      </c>
      <c r="N11" s="299" t="s">
        <v>8</v>
      </c>
      <c r="O11" s="299" t="s">
        <v>8</v>
      </c>
      <c r="P11" s="299" t="s">
        <v>8</v>
      </c>
      <c r="Q11" s="299" t="s">
        <v>8</v>
      </c>
      <c r="R11" s="299" t="s">
        <v>8</v>
      </c>
      <c r="S11" s="299" t="s">
        <v>8</v>
      </c>
      <c r="T11" s="299" t="s">
        <v>8</v>
      </c>
      <c r="U11" s="299" t="s">
        <v>8</v>
      </c>
      <c r="V11" s="299" t="s">
        <v>8</v>
      </c>
      <c r="W11" s="299" t="s">
        <v>8</v>
      </c>
      <c r="X11" s="299" t="s">
        <v>8</v>
      </c>
      <c r="Y11" s="299" t="s">
        <v>8</v>
      </c>
      <c r="Z11" s="299" t="s">
        <v>8</v>
      </c>
      <c r="AA11" s="299" t="s">
        <v>8</v>
      </c>
      <c r="AB11" s="299" t="s">
        <v>8</v>
      </c>
      <c r="AC11" s="299" t="s">
        <v>8</v>
      </c>
    </row>
    <row r="12" spans="1:29" s="473" customFormat="1" ht="15.75">
      <c r="A12" s="288">
        <v>1</v>
      </c>
      <c r="B12" s="288">
        <v>2</v>
      </c>
      <c r="C12" s="288">
        <v>3</v>
      </c>
      <c r="D12" s="288">
        <v>4</v>
      </c>
      <c r="E12" s="288">
        <v>5</v>
      </c>
      <c r="F12" s="523">
        <v>6</v>
      </c>
      <c r="G12" s="523">
        <v>7</v>
      </c>
      <c r="H12" s="523">
        <v>8</v>
      </c>
      <c r="I12" s="523">
        <v>9</v>
      </c>
      <c r="J12" s="502">
        <v>10</v>
      </c>
      <c r="K12" s="288">
        <v>11</v>
      </c>
      <c r="L12" s="288">
        <v>12</v>
      </c>
      <c r="M12" s="288">
        <v>13</v>
      </c>
      <c r="N12" s="288">
        <v>14</v>
      </c>
      <c r="O12" s="288">
        <v>15</v>
      </c>
      <c r="P12" s="288">
        <v>16</v>
      </c>
      <c r="Q12" s="288">
        <v>17</v>
      </c>
      <c r="R12" s="288">
        <v>18</v>
      </c>
      <c r="S12" s="288">
        <v>19</v>
      </c>
      <c r="T12" s="288">
        <v>20</v>
      </c>
      <c r="U12" s="288">
        <v>21</v>
      </c>
      <c r="V12" s="288">
        <v>22</v>
      </c>
      <c r="W12" s="288">
        <v>23</v>
      </c>
      <c r="X12" s="288">
        <v>24</v>
      </c>
      <c r="Y12" s="288">
        <v>25</v>
      </c>
      <c r="Z12" s="288">
        <v>26</v>
      </c>
      <c r="AA12" s="288">
        <v>27</v>
      </c>
      <c r="AB12" s="288">
        <v>28</v>
      </c>
      <c r="AC12" s="288">
        <v>29</v>
      </c>
    </row>
    <row r="13" spans="1:29" ht="15.75">
      <c r="A13" s="478" t="s">
        <v>9</v>
      </c>
      <c r="B13" s="479"/>
      <c r="C13" s="479"/>
      <c r="D13" s="480" t="s">
        <v>10</v>
      </c>
      <c r="E13" s="480"/>
      <c r="F13" s="480"/>
      <c r="G13" s="480"/>
      <c r="H13" s="480"/>
      <c r="I13" s="480"/>
      <c r="J13" s="503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</row>
    <row r="14" spans="1:29" ht="15.75">
      <c r="A14" s="481" t="s">
        <v>11</v>
      </c>
      <c r="B14" s="482" t="s">
        <v>12</v>
      </c>
      <c r="C14" s="482"/>
      <c r="D14" s="483" t="s">
        <v>13</v>
      </c>
      <c r="E14" s="483"/>
      <c r="F14" s="483"/>
      <c r="G14" s="483"/>
      <c r="H14" s="483"/>
      <c r="I14" s="483"/>
      <c r="J14" s="504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</row>
    <row r="15" spans="1:29" ht="116.1" customHeight="1">
      <c r="A15" s="481" t="s">
        <v>14</v>
      </c>
      <c r="B15" s="484" t="s">
        <v>15</v>
      </c>
      <c r="C15" s="485" t="s">
        <v>16</v>
      </c>
      <c r="D15" s="485" t="s">
        <v>13</v>
      </c>
      <c r="E15" s="486">
        <v>0</v>
      </c>
      <c r="F15" s="494">
        <f t="shared" ref="F15:AC15" si="0">F16/F17</f>
        <v>5.0446451092165667E-5</v>
      </c>
      <c r="G15" s="494">
        <f t="shared" si="0"/>
        <v>0</v>
      </c>
      <c r="H15" s="499">
        <f t="shared" si="0"/>
        <v>1.5160703456640388E-3</v>
      </c>
      <c r="I15" s="499">
        <f t="shared" si="0"/>
        <v>1.5491866769945779E-3</v>
      </c>
      <c r="J15" s="505">
        <f t="shared" si="0"/>
        <v>5.4794520547945202E-4</v>
      </c>
      <c r="K15" s="506">
        <f t="shared" si="0"/>
        <v>5.4794520547945202E-4</v>
      </c>
      <c r="L15" s="506">
        <f t="shared" si="0"/>
        <v>5.4794520547945202E-4</v>
      </c>
      <c r="M15" s="506">
        <f t="shared" si="0"/>
        <v>5.4794520547945202E-4</v>
      </c>
      <c r="N15" s="506">
        <f t="shared" si="0"/>
        <v>5.4794520547945202E-4</v>
      </c>
      <c r="O15" s="506">
        <f t="shared" si="0"/>
        <v>5.4794520547945202E-4</v>
      </c>
      <c r="P15" s="506">
        <f t="shared" si="0"/>
        <v>5.4794520547945202E-4</v>
      </c>
      <c r="Q15" s="506">
        <f t="shared" si="0"/>
        <v>5.4794520547945202E-4</v>
      </c>
      <c r="R15" s="506">
        <f t="shared" si="0"/>
        <v>5.4794520547945202E-4</v>
      </c>
      <c r="S15" s="506">
        <f t="shared" si="0"/>
        <v>5.4794520547945202E-4</v>
      </c>
      <c r="T15" s="506">
        <f t="shared" si="0"/>
        <v>5.4794520547945202E-4</v>
      </c>
      <c r="U15" s="506">
        <f t="shared" si="0"/>
        <v>5.4794520547945202E-4</v>
      </c>
      <c r="V15" s="506">
        <f t="shared" si="0"/>
        <v>5.4794520547945202E-4</v>
      </c>
      <c r="W15" s="506">
        <f t="shared" si="0"/>
        <v>5.4794520547945202E-4</v>
      </c>
      <c r="X15" s="506">
        <f t="shared" si="0"/>
        <v>5.4794520547945202E-4</v>
      </c>
      <c r="Y15" s="506">
        <f t="shared" si="0"/>
        <v>5.4794520547945202E-4</v>
      </c>
      <c r="Z15" s="506">
        <f t="shared" si="0"/>
        <v>5.4794520547945202E-4</v>
      </c>
      <c r="AA15" s="506">
        <f t="shared" si="0"/>
        <v>5.4794520547945202E-4</v>
      </c>
      <c r="AB15" s="506">
        <f t="shared" si="0"/>
        <v>5.4794520547945202E-4</v>
      </c>
      <c r="AC15" s="506">
        <f t="shared" si="0"/>
        <v>5.4794520547945202E-4</v>
      </c>
    </row>
    <row r="16" spans="1:29" ht="69.95" customHeight="1">
      <c r="A16" s="481" t="s">
        <v>17</v>
      </c>
      <c r="B16" s="487" t="s">
        <v>18</v>
      </c>
      <c r="C16" s="485" t="s">
        <v>19</v>
      </c>
      <c r="D16" s="485" t="s">
        <v>13</v>
      </c>
      <c r="E16" s="486">
        <v>0</v>
      </c>
      <c r="F16" s="490">
        <v>1</v>
      </c>
      <c r="G16" s="490">
        <v>0</v>
      </c>
      <c r="H16" s="525">
        <v>5</v>
      </c>
      <c r="I16" s="525">
        <v>4</v>
      </c>
      <c r="J16" s="507">
        <v>10</v>
      </c>
      <c r="K16" s="508">
        <v>10</v>
      </c>
      <c r="L16" s="508">
        <v>10</v>
      </c>
      <c r="M16" s="508">
        <v>10</v>
      </c>
      <c r="N16" s="508">
        <v>10</v>
      </c>
      <c r="O16" s="508">
        <v>10</v>
      </c>
      <c r="P16" s="508">
        <v>10</v>
      </c>
      <c r="Q16" s="508">
        <v>10</v>
      </c>
      <c r="R16" s="508">
        <v>10</v>
      </c>
      <c r="S16" s="508">
        <v>10</v>
      </c>
      <c r="T16" s="508">
        <v>10</v>
      </c>
      <c r="U16" s="508">
        <v>10</v>
      </c>
      <c r="V16" s="508">
        <v>10</v>
      </c>
      <c r="W16" s="508">
        <v>10</v>
      </c>
      <c r="X16" s="508">
        <v>10</v>
      </c>
      <c r="Y16" s="508">
        <v>10</v>
      </c>
      <c r="Z16" s="508">
        <v>10</v>
      </c>
      <c r="AA16" s="508">
        <v>10</v>
      </c>
      <c r="AB16" s="508">
        <v>10</v>
      </c>
      <c r="AC16" s="508">
        <v>10</v>
      </c>
    </row>
    <row r="17" spans="1:29" ht="15.75">
      <c r="A17" s="481" t="s">
        <v>20</v>
      </c>
      <c r="B17" s="487" t="s">
        <v>21</v>
      </c>
      <c r="C17" s="485" t="s">
        <v>19</v>
      </c>
      <c r="D17" s="485" t="s">
        <v>13</v>
      </c>
      <c r="E17" s="486">
        <v>0</v>
      </c>
      <c r="F17" s="490">
        <v>19823</v>
      </c>
      <c r="G17" s="490">
        <v>19812</v>
      </c>
      <c r="H17" s="491">
        <v>3298</v>
      </c>
      <c r="I17" s="491">
        <v>2582</v>
      </c>
      <c r="J17" s="514">
        <v>18250</v>
      </c>
      <c r="K17" s="490">
        <v>18250</v>
      </c>
      <c r="L17" s="490">
        <v>18250</v>
      </c>
      <c r="M17" s="490">
        <v>18250</v>
      </c>
      <c r="N17" s="490">
        <v>18250</v>
      </c>
      <c r="O17" s="490">
        <v>18250</v>
      </c>
      <c r="P17" s="490">
        <v>18250</v>
      </c>
      <c r="Q17" s="490">
        <v>18250</v>
      </c>
      <c r="R17" s="490">
        <v>18250</v>
      </c>
      <c r="S17" s="490">
        <v>18250</v>
      </c>
      <c r="T17" s="490">
        <v>18250</v>
      </c>
      <c r="U17" s="490">
        <v>18250</v>
      </c>
      <c r="V17" s="490">
        <v>18250</v>
      </c>
      <c r="W17" s="490">
        <v>18250</v>
      </c>
      <c r="X17" s="490">
        <v>18250</v>
      </c>
      <c r="Y17" s="490">
        <v>18250</v>
      </c>
      <c r="Z17" s="490">
        <v>18250</v>
      </c>
      <c r="AA17" s="490">
        <v>18250</v>
      </c>
      <c r="AB17" s="490">
        <v>18250</v>
      </c>
      <c r="AC17" s="490">
        <v>18250</v>
      </c>
    </row>
    <row r="18" spans="1:29" ht="63">
      <c r="A18" s="481" t="s">
        <v>22</v>
      </c>
      <c r="B18" s="484" t="s">
        <v>23</v>
      </c>
      <c r="C18" s="485" t="s">
        <v>16</v>
      </c>
      <c r="D18" s="485" t="s">
        <v>13</v>
      </c>
      <c r="E18" s="486">
        <v>0</v>
      </c>
      <c r="F18" s="494">
        <f t="shared" ref="F18:AC18" si="1">F19/F20</f>
        <v>3.5758984444841767E-4</v>
      </c>
      <c r="G18" s="494">
        <f t="shared" si="1"/>
        <v>1.7250301880282904E-4</v>
      </c>
      <c r="H18" s="495">
        <f t="shared" si="1"/>
        <v>2.1154427319431852E-3</v>
      </c>
      <c r="I18" s="495">
        <f t="shared" si="1"/>
        <v>6.8598868118676043E-4</v>
      </c>
      <c r="J18" s="510">
        <f t="shared" si="1"/>
        <v>2.861685214626391E-3</v>
      </c>
      <c r="K18" s="511">
        <f t="shared" si="1"/>
        <v>2.861685214626391E-3</v>
      </c>
      <c r="L18" s="511">
        <f t="shared" si="1"/>
        <v>2.861685214626391E-3</v>
      </c>
      <c r="M18" s="511">
        <f t="shared" si="1"/>
        <v>2.861685214626391E-3</v>
      </c>
      <c r="N18" s="511">
        <f t="shared" si="1"/>
        <v>2.861685214626391E-3</v>
      </c>
      <c r="O18" s="511">
        <f t="shared" si="1"/>
        <v>2.861685214626391E-3</v>
      </c>
      <c r="P18" s="511">
        <f t="shared" si="1"/>
        <v>2.861685214626391E-3</v>
      </c>
      <c r="Q18" s="511">
        <f t="shared" si="1"/>
        <v>2.861685214626391E-3</v>
      </c>
      <c r="R18" s="511">
        <f t="shared" si="1"/>
        <v>2.861685214626391E-3</v>
      </c>
      <c r="S18" s="511">
        <f t="shared" si="1"/>
        <v>2.861685214626391E-3</v>
      </c>
      <c r="T18" s="511">
        <f t="shared" si="1"/>
        <v>2.861685214626391E-3</v>
      </c>
      <c r="U18" s="511">
        <f t="shared" si="1"/>
        <v>2.861685214626391E-3</v>
      </c>
      <c r="V18" s="511">
        <f t="shared" si="1"/>
        <v>2.861685214626391E-3</v>
      </c>
      <c r="W18" s="511">
        <f t="shared" si="1"/>
        <v>2.861685214626391E-3</v>
      </c>
      <c r="X18" s="511">
        <f t="shared" si="1"/>
        <v>2.861685214626391E-3</v>
      </c>
      <c r="Y18" s="511">
        <f t="shared" si="1"/>
        <v>2.861685214626391E-3</v>
      </c>
      <c r="Z18" s="511">
        <f t="shared" si="1"/>
        <v>2.861685214626391E-3</v>
      </c>
      <c r="AA18" s="511">
        <f t="shared" si="1"/>
        <v>2.861685214626391E-3</v>
      </c>
      <c r="AB18" s="511">
        <f t="shared" si="1"/>
        <v>2.861685214626391E-3</v>
      </c>
      <c r="AC18" s="511">
        <f t="shared" si="1"/>
        <v>2.861685214626391E-3</v>
      </c>
    </row>
    <row r="19" spans="1:29" ht="63">
      <c r="A19" s="481" t="s">
        <v>24</v>
      </c>
      <c r="B19" s="487" t="s">
        <v>25</v>
      </c>
      <c r="C19" s="485" t="s">
        <v>19</v>
      </c>
      <c r="D19" s="485" t="s">
        <v>13</v>
      </c>
      <c r="E19" s="486">
        <v>0</v>
      </c>
      <c r="F19" s="490">
        <v>2</v>
      </c>
      <c r="G19" s="490">
        <v>1</v>
      </c>
      <c r="H19" s="525">
        <v>14</v>
      </c>
      <c r="I19" s="525">
        <v>4</v>
      </c>
      <c r="J19" s="507">
        <v>9</v>
      </c>
      <c r="K19" s="508">
        <v>9</v>
      </c>
      <c r="L19" s="508">
        <v>9</v>
      </c>
      <c r="M19" s="508">
        <v>9</v>
      </c>
      <c r="N19" s="508">
        <v>9</v>
      </c>
      <c r="O19" s="508">
        <v>9</v>
      </c>
      <c r="P19" s="508">
        <v>9</v>
      </c>
      <c r="Q19" s="508">
        <v>9</v>
      </c>
      <c r="R19" s="508">
        <v>9</v>
      </c>
      <c r="S19" s="508">
        <v>9</v>
      </c>
      <c r="T19" s="508">
        <v>9</v>
      </c>
      <c r="U19" s="508">
        <v>9</v>
      </c>
      <c r="V19" s="508">
        <v>9</v>
      </c>
      <c r="W19" s="508">
        <v>9</v>
      </c>
      <c r="X19" s="508">
        <v>9</v>
      </c>
      <c r="Y19" s="508">
        <v>9</v>
      </c>
      <c r="Z19" s="508">
        <v>9</v>
      </c>
      <c r="AA19" s="508">
        <v>9</v>
      </c>
      <c r="AB19" s="508">
        <v>9</v>
      </c>
      <c r="AC19" s="508">
        <v>9</v>
      </c>
    </row>
    <row r="20" spans="1:29" ht="15.75">
      <c r="A20" s="481" t="s">
        <v>26</v>
      </c>
      <c r="B20" s="487" t="s">
        <v>21</v>
      </c>
      <c r="C20" s="485" t="s">
        <v>19</v>
      </c>
      <c r="D20" s="485" t="s">
        <v>13</v>
      </c>
      <c r="E20" s="486">
        <v>0</v>
      </c>
      <c r="F20" s="490">
        <v>5593</v>
      </c>
      <c r="G20" s="490">
        <v>5797</v>
      </c>
      <c r="H20" s="525">
        <v>6618</v>
      </c>
      <c r="I20" s="525">
        <v>5831</v>
      </c>
      <c r="J20" s="507">
        <v>3145</v>
      </c>
      <c r="K20" s="508">
        <v>3145</v>
      </c>
      <c r="L20" s="508">
        <v>3145</v>
      </c>
      <c r="M20" s="508">
        <v>3145</v>
      </c>
      <c r="N20" s="508">
        <v>3145</v>
      </c>
      <c r="O20" s="508">
        <v>3145</v>
      </c>
      <c r="P20" s="508">
        <v>3145</v>
      </c>
      <c r="Q20" s="508">
        <v>3145</v>
      </c>
      <c r="R20" s="508">
        <v>3145</v>
      </c>
      <c r="S20" s="508">
        <v>3145</v>
      </c>
      <c r="T20" s="508">
        <v>3145</v>
      </c>
      <c r="U20" s="508">
        <v>3145</v>
      </c>
      <c r="V20" s="508">
        <v>3145</v>
      </c>
      <c r="W20" s="508">
        <v>3145</v>
      </c>
      <c r="X20" s="508">
        <v>3145</v>
      </c>
      <c r="Y20" s="508">
        <v>3145</v>
      </c>
      <c r="Z20" s="508">
        <v>3145</v>
      </c>
      <c r="AA20" s="508">
        <v>3145</v>
      </c>
      <c r="AB20" s="508">
        <v>3145</v>
      </c>
      <c r="AC20" s="508">
        <v>3145</v>
      </c>
    </row>
    <row r="21" spans="1:29" ht="15.75">
      <c r="A21" s="481" t="s">
        <v>27</v>
      </c>
      <c r="B21" s="484" t="s">
        <v>28</v>
      </c>
      <c r="C21" s="485"/>
      <c r="D21" s="485" t="s">
        <v>13</v>
      </c>
      <c r="E21" s="485"/>
      <c r="F21" s="493"/>
      <c r="G21" s="493"/>
      <c r="H21" s="489"/>
      <c r="I21" s="489"/>
      <c r="J21" s="509" t="s">
        <v>29</v>
      </c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</row>
    <row r="22" spans="1:29" ht="125.1" customHeight="1">
      <c r="A22" s="481" t="s">
        <v>30</v>
      </c>
      <c r="B22" s="484" t="s">
        <v>31</v>
      </c>
      <c r="C22" s="485" t="s">
        <v>32</v>
      </c>
      <c r="D22" s="485" t="s">
        <v>13</v>
      </c>
      <c r="E22" s="486">
        <v>0</v>
      </c>
      <c r="F22" s="488">
        <f t="shared" ref="F22:AC22" si="2">F23/F24</f>
        <v>0.21101873744692753</v>
      </c>
      <c r="G22" s="488">
        <f t="shared" si="2"/>
        <v>0.24093361776885433</v>
      </c>
      <c r="H22" s="489">
        <f t="shared" si="2"/>
        <v>0.21</v>
      </c>
      <c r="I22" s="489">
        <f t="shared" si="2"/>
        <v>0.20853523607318805</v>
      </c>
      <c r="J22" s="489">
        <f t="shared" si="2"/>
        <v>0.36798572311599731</v>
      </c>
      <c r="K22" s="498">
        <f t="shared" si="2"/>
        <v>0.33978460536313321</v>
      </c>
      <c r="L22" s="498">
        <f t="shared" si="2"/>
        <v>0.32572618181208801</v>
      </c>
      <c r="M22" s="498">
        <f t="shared" si="2"/>
        <v>0.31898701942976893</v>
      </c>
      <c r="N22" s="554">
        <f t="shared" si="2"/>
        <v>0.29427675736126568</v>
      </c>
      <c r="O22" s="554">
        <f t="shared" si="2"/>
        <v>0.28079843259662757</v>
      </c>
      <c r="P22" s="554">
        <f t="shared" si="2"/>
        <v>0.2650737203712164</v>
      </c>
      <c r="Q22" s="554">
        <f t="shared" si="2"/>
        <v>0.25384178306735133</v>
      </c>
      <c r="R22" s="554">
        <f t="shared" si="2"/>
        <v>0.24036345830271322</v>
      </c>
      <c r="S22" s="554">
        <f t="shared" si="2"/>
        <v>0.22913152099884809</v>
      </c>
      <c r="T22" s="554">
        <f t="shared" si="2"/>
        <v>0.217899583694983</v>
      </c>
      <c r="U22" s="554">
        <f t="shared" si="2"/>
        <v>0.21340680877343696</v>
      </c>
      <c r="V22" s="554">
        <f t="shared" si="2"/>
        <v>0.21116042131266394</v>
      </c>
      <c r="W22" s="554">
        <f t="shared" si="2"/>
        <v>0.20891403385189092</v>
      </c>
      <c r="X22" s="554">
        <f t="shared" si="2"/>
        <v>0.20217487146957186</v>
      </c>
      <c r="Y22" s="554">
        <f t="shared" si="2"/>
        <v>0.18163254706477697</v>
      </c>
      <c r="Z22" s="554">
        <f t="shared" si="2"/>
        <v>0.17947025483781534</v>
      </c>
      <c r="AA22" s="554">
        <f t="shared" si="2"/>
        <v>0.17730796261085371</v>
      </c>
      <c r="AB22" s="554">
        <f t="shared" si="2"/>
        <v>0.17514567038389206</v>
      </c>
      <c r="AC22" s="554">
        <f t="shared" si="2"/>
        <v>0.17514567038389206</v>
      </c>
    </row>
    <row r="23" spans="1:29" ht="27" customHeight="1">
      <c r="A23" s="481" t="s">
        <v>33</v>
      </c>
      <c r="B23" s="487" t="s">
        <v>34</v>
      </c>
      <c r="C23" s="485" t="s">
        <v>19</v>
      </c>
      <c r="D23" s="485" t="s">
        <v>13</v>
      </c>
      <c r="E23" s="486">
        <v>0</v>
      </c>
      <c r="F23" s="490">
        <v>83</v>
      </c>
      <c r="G23" s="490">
        <v>96</v>
      </c>
      <c r="H23" s="491">
        <v>85.843947</v>
      </c>
      <c r="I23" s="491">
        <v>85.843947</v>
      </c>
      <c r="J23" s="491">
        <v>153</v>
      </c>
      <c r="K23" s="490">
        <v>151</v>
      </c>
      <c r="L23" s="490">
        <v>145</v>
      </c>
      <c r="M23" s="490">
        <v>142</v>
      </c>
      <c r="N23" s="555">
        <v>131</v>
      </c>
      <c r="O23" s="555">
        <v>125</v>
      </c>
      <c r="P23" s="555">
        <v>118</v>
      </c>
      <c r="Q23" s="555">
        <v>113</v>
      </c>
      <c r="R23" s="555">
        <v>107</v>
      </c>
      <c r="S23" s="555">
        <v>102</v>
      </c>
      <c r="T23" s="555">
        <v>97</v>
      </c>
      <c r="U23" s="555">
        <v>95</v>
      </c>
      <c r="V23" s="555">
        <v>94</v>
      </c>
      <c r="W23" s="555">
        <v>93</v>
      </c>
      <c r="X23" s="555">
        <v>90</v>
      </c>
      <c r="Y23" s="555">
        <v>84</v>
      </c>
      <c r="Z23" s="555">
        <v>83</v>
      </c>
      <c r="AA23" s="555">
        <v>82</v>
      </c>
      <c r="AB23" s="555">
        <v>81</v>
      </c>
      <c r="AC23" s="555">
        <v>81</v>
      </c>
    </row>
    <row r="24" spans="1:29" ht="15.75">
      <c r="A24" s="481" t="s">
        <v>35</v>
      </c>
      <c r="B24" s="487" t="s">
        <v>36</v>
      </c>
      <c r="C24" s="485" t="s">
        <v>37</v>
      </c>
      <c r="D24" s="485" t="s">
        <v>13</v>
      </c>
      <c r="E24" s="486">
        <v>0</v>
      </c>
      <c r="F24" s="492">
        <v>393.33</v>
      </c>
      <c r="G24" s="492">
        <v>398.45</v>
      </c>
      <c r="H24" s="489">
        <v>408.78070000000002</v>
      </c>
      <c r="I24" s="489">
        <v>411.65199999999999</v>
      </c>
      <c r="J24" s="489">
        <v>415.77699999999999</v>
      </c>
      <c r="K24" s="498">
        <v>444.39918</v>
      </c>
      <c r="L24" s="498">
        <f t="shared" ref="L24:X24" si="3">444.50178+0.6574</f>
        <v>445.15917999999999</v>
      </c>
      <c r="M24" s="498">
        <f t="shared" si="3"/>
        <v>445.15917999999999</v>
      </c>
      <c r="N24" s="498">
        <f t="shared" si="3"/>
        <v>445.15917999999999</v>
      </c>
      <c r="O24" s="498">
        <f t="shared" si="3"/>
        <v>445.15917999999999</v>
      </c>
      <c r="P24" s="498">
        <f t="shared" si="3"/>
        <v>445.15917999999999</v>
      </c>
      <c r="Q24" s="498">
        <f t="shared" si="3"/>
        <v>445.15917999999999</v>
      </c>
      <c r="R24" s="498">
        <f t="shared" si="3"/>
        <v>445.15917999999999</v>
      </c>
      <c r="S24" s="498">
        <f t="shared" si="3"/>
        <v>445.15917999999999</v>
      </c>
      <c r="T24" s="498">
        <f t="shared" si="3"/>
        <v>445.15917999999999</v>
      </c>
      <c r="U24" s="498">
        <f t="shared" si="3"/>
        <v>445.15917999999999</v>
      </c>
      <c r="V24" s="498">
        <f t="shared" si="3"/>
        <v>445.15917999999999</v>
      </c>
      <c r="W24" s="498">
        <f t="shared" si="3"/>
        <v>445.15917999999999</v>
      </c>
      <c r="X24" s="498">
        <f t="shared" si="3"/>
        <v>445.15917999999999</v>
      </c>
      <c r="Y24" s="498">
        <f t="shared" ref="Y24:AC24" si="4">461.81478+0.6574</f>
        <v>462.47217999999998</v>
      </c>
      <c r="Z24" s="498">
        <f t="shared" si="4"/>
        <v>462.47217999999998</v>
      </c>
      <c r="AA24" s="498">
        <f t="shared" si="4"/>
        <v>462.47217999999998</v>
      </c>
      <c r="AB24" s="498">
        <f t="shared" si="4"/>
        <v>462.47217999999998</v>
      </c>
      <c r="AC24" s="498">
        <f t="shared" si="4"/>
        <v>462.47217999999998</v>
      </c>
    </row>
    <row r="25" spans="1:29" ht="15.75">
      <c r="A25" s="481" t="s">
        <v>38</v>
      </c>
      <c r="B25" s="484" t="s">
        <v>39</v>
      </c>
      <c r="C25" s="485"/>
      <c r="D25" s="485" t="s">
        <v>40</v>
      </c>
      <c r="E25" s="485"/>
      <c r="F25" s="493"/>
      <c r="G25" s="493"/>
      <c r="H25" s="489"/>
      <c r="I25" s="489"/>
      <c r="J25" s="489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>
        <f t="shared" ref="Y25:AC26" si="5">X25</f>
        <v>0</v>
      </c>
      <c r="Z25" s="498">
        <f t="shared" si="5"/>
        <v>0</v>
      </c>
      <c r="AA25" s="498">
        <f t="shared" si="5"/>
        <v>0</v>
      </c>
      <c r="AB25" s="498">
        <f t="shared" si="5"/>
        <v>0</v>
      </c>
      <c r="AC25" s="498">
        <f t="shared" si="5"/>
        <v>0</v>
      </c>
    </row>
    <row r="26" spans="1:29" ht="47.25">
      <c r="A26" s="481" t="s">
        <v>41</v>
      </c>
      <c r="B26" s="484" t="s">
        <v>42</v>
      </c>
      <c r="C26" s="485" t="s">
        <v>16</v>
      </c>
      <c r="D26" s="485" t="s">
        <v>40</v>
      </c>
      <c r="E26" s="486">
        <v>0</v>
      </c>
      <c r="F26" s="494">
        <f t="shared" ref="F26:X26" si="6">F27/F28</f>
        <v>0</v>
      </c>
      <c r="G26" s="494">
        <f t="shared" si="6"/>
        <v>0</v>
      </c>
      <c r="H26" s="495">
        <f t="shared" si="6"/>
        <v>0</v>
      </c>
      <c r="I26" s="495">
        <f t="shared" si="6"/>
        <v>0</v>
      </c>
      <c r="J26" s="495">
        <f t="shared" si="6"/>
        <v>0</v>
      </c>
      <c r="K26" s="511">
        <f t="shared" si="6"/>
        <v>0</v>
      </c>
      <c r="L26" s="511">
        <f t="shared" si="6"/>
        <v>0</v>
      </c>
      <c r="M26" s="511">
        <f t="shared" si="6"/>
        <v>0</v>
      </c>
      <c r="N26" s="511">
        <f t="shared" si="6"/>
        <v>0</v>
      </c>
      <c r="O26" s="511">
        <f t="shared" si="6"/>
        <v>0</v>
      </c>
      <c r="P26" s="511">
        <f t="shared" si="6"/>
        <v>0</v>
      </c>
      <c r="Q26" s="511">
        <f t="shared" si="6"/>
        <v>0</v>
      </c>
      <c r="R26" s="511">
        <f t="shared" si="6"/>
        <v>0</v>
      </c>
      <c r="S26" s="511">
        <f t="shared" si="6"/>
        <v>0</v>
      </c>
      <c r="T26" s="511">
        <f t="shared" si="6"/>
        <v>0</v>
      </c>
      <c r="U26" s="511">
        <f t="shared" si="6"/>
        <v>0</v>
      </c>
      <c r="V26" s="511">
        <f t="shared" si="6"/>
        <v>0</v>
      </c>
      <c r="W26" s="511">
        <f t="shared" si="6"/>
        <v>0</v>
      </c>
      <c r="X26" s="511">
        <f t="shared" si="6"/>
        <v>0</v>
      </c>
      <c r="Y26" s="511">
        <f t="shared" si="5"/>
        <v>0</v>
      </c>
      <c r="Z26" s="511">
        <f t="shared" si="5"/>
        <v>0</v>
      </c>
      <c r="AA26" s="511">
        <f t="shared" si="5"/>
        <v>0</v>
      </c>
      <c r="AB26" s="511">
        <f t="shared" si="5"/>
        <v>0</v>
      </c>
      <c r="AC26" s="511">
        <f t="shared" si="5"/>
        <v>0</v>
      </c>
    </row>
    <row r="27" spans="1:29" ht="15.75">
      <c r="A27" s="481" t="s">
        <v>43</v>
      </c>
      <c r="B27" s="487" t="s">
        <v>44</v>
      </c>
      <c r="C27" s="485" t="s">
        <v>45</v>
      </c>
      <c r="D27" s="485" t="s">
        <v>40</v>
      </c>
      <c r="E27" s="486">
        <v>0</v>
      </c>
      <c r="F27" s="496">
        <v>0</v>
      </c>
      <c r="G27" s="496">
        <v>0</v>
      </c>
      <c r="H27" s="497">
        <v>0</v>
      </c>
      <c r="I27" s="497">
        <v>0</v>
      </c>
      <c r="J27" s="497">
        <v>0</v>
      </c>
      <c r="K27" s="496">
        <v>0</v>
      </c>
      <c r="L27" s="512"/>
      <c r="M27" s="512"/>
      <c r="N27" s="512"/>
      <c r="O27" s="512"/>
      <c r="P27" s="512"/>
      <c r="Q27" s="512"/>
      <c r="R27" s="512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</row>
    <row r="28" spans="1:29" ht="31.5">
      <c r="A28" s="481" t="s">
        <v>46</v>
      </c>
      <c r="B28" s="487" t="s">
        <v>47</v>
      </c>
      <c r="C28" s="485" t="s">
        <v>45</v>
      </c>
      <c r="D28" s="485" t="s">
        <v>40</v>
      </c>
      <c r="E28" s="486">
        <v>0</v>
      </c>
      <c r="F28" s="498">
        <v>17684.364000000001</v>
      </c>
      <c r="G28" s="498">
        <v>16971.53</v>
      </c>
      <c r="H28" s="489">
        <v>17319.089</v>
      </c>
      <c r="I28" s="489">
        <v>16475</v>
      </c>
      <c r="J28" s="513">
        <v>16400.64</v>
      </c>
      <c r="K28" s="498">
        <v>16400.64</v>
      </c>
      <c r="L28" s="498">
        <v>16400.64</v>
      </c>
      <c r="M28" s="498">
        <v>16400.64</v>
      </c>
      <c r="N28" s="498">
        <v>16400.64</v>
      </c>
      <c r="O28" s="498">
        <v>16400.64</v>
      </c>
      <c r="P28" s="498">
        <v>16400.64</v>
      </c>
      <c r="Q28" s="498">
        <v>16400.64</v>
      </c>
      <c r="R28" s="498">
        <v>16400.64</v>
      </c>
      <c r="S28" s="498">
        <v>16400.64</v>
      </c>
      <c r="T28" s="498">
        <v>16400.64</v>
      </c>
      <c r="U28" s="498">
        <v>16400.64</v>
      </c>
      <c r="V28" s="498">
        <v>16400.64</v>
      </c>
      <c r="W28" s="498">
        <v>16400.64</v>
      </c>
      <c r="X28" s="498">
        <v>16400.64</v>
      </c>
      <c r="Y28" s="498">
        <v>16400.64</v>
      </c>
      <c r="Z28" s="498">
        <v>16400.64</v>
      </c>
      <c r="AA28" s="498">
        <v>16400.64</v>
      </c>
      <c r="AB28" s="498">
        <v>16400.64</v>
      </c>
      <c r="AC28" s="498">
        <v>16400.64</v>
      </c>
    </row>
    <row r="29" spans="1:29" ht="47.25">
      <c r="A29" s="481" t="s">
        <v>48</v>
      </c>
      <c r="B29" s="484" t="s">
        <v>49</v>
      </c>
      <c r="C29" s="485" t="s">
        <v>16</v>
      </c>
      <c r="D29" s="485" t="s">
        <v>40</v>
      </c>
      <c r="E29" s="486">
        <v>0</v>
      </c>
      <c r="F29" s="496">
        <v>0</v>
      </c>
      <c r="G29" s="496">
        <f t="shared" ref="G29:I29" si="7">IF(G31=0,0,G30/G31)</f>
        <v>0</v>
      </c>
      <c r="H29" s="497">
        <f t="shared" si="7"/>
        <v>0</v>
      </c>
      <c r="I29" s="497">
        <f t="shared" si="7"/>
        <v>0</v>
      </c>
      <c r="J29" s="497" t="s">
        <v>29</v>
      </c>
      <c r="K29" s="496">
        <f t="shared" ref="K29:X29" si="8">IF(K31=0,0,K30/K31)</f>
        <v>0</v>
      </c>
      <c r="L29" s="496">
        <f t="shared" si="8"/>
        <v>0</v>
      </c>
      <c r="M29" s="496">
        <f t="shared" si="8"/>
        <v>0</v>
      </c>
      <c r="N29" s="496">
        <f t="shared" si="8"/>
        <v>0</v>
      </c>
      <c r="O29" s="496">
        <f t="shared" si="8"/>
        <v>0</v>
      </c>
      <c r="P29" s="496">
        <f t="shared" si="8"/>
        <v>0</v>
      </c>
      <c r="Q29" s="496">
        <f t="shared" si="8"/>
        <v>0</v>
      </c>
      <c r="R29" s="496">
        <f t="shared" si="8"/>
        <v>0</v>
      </c>
      <c r="S29" s="496">
        <f t="shared" si="8"/>
        <v>0</v>
      </c>
      <c r="T29" s="496">
        <f t="shared" si="8"/>
        <v>0</v>
      </c>
      <c r="U29" s="496">
        <f t="shared" si="8"/>
        <v>0</v>
      </c>
      <c r="V29" s="496">
        <f t="shared" si="8"/>
        <v>0</v>
      </c>
      <c r="W29" s="496">
        <f t="shared" si="8"/>
        <v>0</v>
      </c>
      <c r="X29" s="496">
        <f t="shared" si="8"/>
        <v>0</v>
      </c>
      <c r="Y29" s="496">
        <f t="shared" ref="Y29:AC31" si="9">X29</f>
        <v>0</v>
      </c>
      <c r="Z29" s="496">
        <f t="shared" si="9"/>
        <v>0</v>
      </c>
      <c r="AA29" s="496">
        <f t="shared" si="9"/>
        <v>0</v>
      </c>
      <c r="AB29" s="496">
        <f t="shared" si="9"/>
        <v>0</v>
      </c>
      <c r="AC29" s="496">
        <f t="shared" si="9"/>
        <v>0</v>
      </c>
    </row>
    <row r="30" spans="1:29" ht="15.75">
      <c r="A30" s="481" t="s">
        <v>50</v>
      </c>
      <c r="B30" s="487" t="s">
        <v>51</v>
      </c>
      <c r="C30" s="485" t="s">
        <v>45</v>
      </c>
      <c r="D30" s="485" t="s">
        <v>40</v>
      </c>
      <c r="E30" s="486">
        <v>0</v>
      </c>
      <c r="F30" s="496">
        <v>0</v>
      </c>
      <c r="G30" s="496">
        <v>0</v>
      </c>
      <c r="H30" s="497">
        <v>0</v>
      </c>
      <c r="I30" s="497">
        <v>0</v>
      </c>
      <c r="J30" s="497" t="s">
        <v>29</v>
      </c>
      <c r="K30" s="496">
        <v>0</v>
      </c>
      <c r="L30" s="496">
        <v>0</v>
      </c>
      <c r="M30" s="496">
        <v>0</v>
      </c>
      <c r="N30" s="496">
        <v>0</v>
      </c>
      <c r="O30" s="496">
        <v>0</v>
      </c>
      <c r="P30" s="496">
        <v>0</v>
      </c>
      <c r="Q30" s="496">
        <v>0</v>
      </c>
      <c r="R30" s="496">
        <v>0</v>
      </c>
      <c r="S30" s="496">
        <v>0</v>
      </c>
      <c r="T30" s="496">
        <v>0</v>
      </c>
      <c r="U30" s="496">
        <v>0</v>
      </c>
      <c r="V30" s="496">
        <v>0</v>
      </c>
      <c r="W30" s="496">
        <v>0</v>
      </c>
      <c r="X30" s="496">
        <v>0</v>
      </c>
      <c r="Y30" s="496">
        <f t="shared" si="9"/>
        <v>0</v>
      </c>
      <c r="Z30" s="496">
        <f t="shared" si="9"/>
        <v>0</v>
      </c>
      <c r="AA30" s="496">
        <f t="shared" si="9"/>
        <v>0</v>
      </c>
      <c r="AB30" s="496">
        <f t="shared" si="9"/>
        <v>0</v>
      </c>
      <c r="AC30" s="496">
        <f t="shared" si="9"/>
        <v>0</v>
      </c>
    </row>
    <row r="31" spans="1:29" ht="31.5">
      <c r="A31" s="481" t="s">
        <v>52</v>
      </c>
      <c r="B31" s="487" t="s">
        <v>53</v>
      </c>
      <c r="C31" s="485" t="s">
        <v>45</v>
      </c>
      <c r="D31" s="485" t="s">
        <v>40</v>
      </c>
      <c r="E31" s="486">
        <v>0</v>
      </c>
      <c r="F31" s="496">
        <v>0</v>
      </c>
      <c r="G31" s="496">
        <v>0</v>
      </c>
      <c r="H31" s="497">
        <v>0</v>
      </c>
      <c r="I31" s="497">
        <v>0</v>
      </c>
      <c r="J31" s="497" t="s">
        <v>29</v>
      </c>
      <c r="K31" s="496">
        <v>0</v>
      </c>
      <c r="L31" s="496">
        <v>0</v>
      </c>
      <c r="M31" s="496">
        <v>0</v>
      </c>
      <c r="N31" s="496">
        <v>0</v>
      </c>
      <c r="O31" s="496">
        <v>0</v>
      </c>
      <c r="P31" s="496">
        <v>0</v>
      </c>
      <c r="Q31" s="496">
        <v>0</v>
      </c>
      <c r="R31" s="496">
        <v>0</v>
      </c>
      <c r="S31" s="496">
        <v>0</v>
      </c>
      <c r="T31" s="496">
        <v>0</v>
      </c>
      <c r="U31" s="496">
        <v>0</v>
      </c>
      <c r="V31" s="496">
        <v>0</v>
      </c>
      <c r="W31" s="496">
        <v>0</v>
      </c>
      <c r="X31" s="496">
        <v>0</v>
      </c>
      <c r="Y31" s="496">
        <f t="shared" si="9"/>
        <v>0</v>
      </c>
      <c r="Z31" s="496">
        <f t="shared" si="9"/>
        <v>0</v>
      </c>
      <c r="AA31" s="496">
        <f t="shared" si="9"/>
        <v>0</v>
      </c>
      <c r="AB31" s="496">
        <f t="shared" si="9"/>
        <v>0</v>
      </c>
      <c r="AC31" s="496">
        <f t="shared" si="9"/>
        <v>0</v>
      </c>
    </row>
    <row r="32" spans="1:29" ht="77.099999999999994" customHeight="1">
      <c r="A32" s="481" t="s">
        <v>54</v>
      </c>
      <c r="B32" s="484" t="s">
        <v>55</v>
      </c>
      <c r="C32" s="485" t="s">
        <v>16</v>
      </c>
      <c r="D32" s="485" t="s">
        <v>40</v>
      </c>
      <c r="E32" s="486">
        <v>0</v>
      </c>
      <c r="F32" s="494">
        <f t="shared" ref="F32:K32" si="10">F33/F34</f>
        <v>2.6303428839830906E-2</v>
      </c>
      <c r="G32" s="494">
        <f t="shared" si="10"/>
        <v>3.5928143712574849E-2</v>
      </c>
      <c r="H32" s="499">
        <f t="shared" si="10"/>
        <v>1.7193947730398899E-2</v>
      </c>
      <c r="I32" s="499">
        <f t="shared" si="10"/>
        <v>1.375598086124402E-2</v>
      </c>
      <c r="J32" s="499">
        <f t="shared" si="10"/>
        <v>2.9486099410278011E-2</v>
      </c>
      <c r="K32" s="494">
        <f t="shared" si="10"/>
        <v>2.8517110266159697E-2</v>
      </c>
      <c r="L32" s="494">
        <f t="shared" ref="L32" si="11">L33/L34</f>
        <v>2.8517110266159697E-2</v>
      </c>
      <c r="M32" s="494">
        <f t="shared" ref="M32" si="12">M33/M34</f>
        <v>2.8517110266159697E-2</v>
      </c>
      <c r="N32" s="494">
        <f t="shared" ref="N32" si="13">N33/N34</f>
        <v>2.8517110266159697E-2</v>
      </c>
      <c r="O32" s="494">
        <f t="shared" ref="O32" si="14">O33/O34</f>
        <v>2.8517110266159697E-2</v>
      </c>
      <c r="P32" s="494">
        <f t="shared" ref="P32" si="15">P33/P34</f>
        <v>2.8517110266159697E-2</v>
      </c>
      <c r="Q32" s="494">
        <f t="shared" ref="Q32" si="16">Q33/Q34</f>
        <v>2.8517110266159697E-2</v>
      </c>
      <c r="R32" s="494">
        <f t="shared" ref="R32" si="17">R33/R34</f>
        <v>2.8517110266159697E-2</v>
      </c>
      <c r="S32" s="494">
        <f t="shared" ref="S32" si="18">S33/S34</f>
        <v>2.8517110266159697E-2</v>
      </c>
      <c r="T32" s="494">
        <f t="shared" ref="T32" si="19">T33/T34</f>
        <v>2.8517110266159697E-2</v>
      </c>
      <c r="U32" s="494">
        <f t="shared" ref="U32" si="20">U33/U34</f>
        <v>2.8517110266159697E-2</v>
      </c>
      <c r="V32" s="494">
        <f t="shared" ref="V32" si="21">V33/V34</f>
        <v>2.8517110266159697E-2</v>
      </c>
      <c r="W32" s="494">
        <f t="shared" ref="W32" si="22">W33/W34</f>
        <v>2.8517110266159697E-2</v>
      </c>
      <c r="X32" s="494">
        <f t="shared" ref="X32" si="23">X33/X34</f>
        <v>2.8517110266159697E-2</v>
      </c>
      <c r="Y32" s="494">
        <f t="shared" ref="Y32" si="24">Y33/Y34</f>
        <v>2.8517110266159697E-2</v>
      </c>
      <c r="Z32" s="494">
        <f t="shared" ref="Z32" si="25">Z33/Z34</f>
        <v>2.8517110266159697E-2</v>
      </c>
      <c r="AA32" s="494">
        <f t="shared" ref="AA32" si="26">AA33/AA34</f>
        <v>2.8517110266159697E-2</v>
      </c>
      <c r="AB32" s="494">
        <f t="shared" ref="AB32" si="27">AB33/AB34</f>
        <v>2.8517110266159697E-2</v>
      </c>
      <c r="AC32" s="494">
        <f t="shared" ref="AC32" si="28">AC33/AC34</f>
        <v>2.8517110266159697E-2</v>
      </c>
    </row>
    <row r="33" spans="1:29" ht="63" customHeight="1">
      <c r="A33" s="481" t="s">
        <v>56</v>
      </c>
      <c r="B33" s="487" t="s">
        <v>57</v>
      </c>
      <c r="C33" s="485" t="s">
        <v>19</v>
      </c>
      <c r="D33" s="485" t="s">
        <v>40</v>
      </c>
      <c r="E33" s="486">
        <v>0</v>
      </c>
      <c r="F33" s="490">
        <v>56</v>
      </c>
      <c r="G33" s="490">
        <v>54</v>
      </c>
      <c r="H33" s="525">
        <v>25</v>
      </c>
      <c r="I33" s="525">
        <v>23</v>
      </c>
      <c r="J33" s="507">
        <v>35</v>
      </c>
      <c r="K33" s="508">
        <v>30</v>
      </c>
      <c r="L33" s="508">
        <v>30</v>
      </c>
      <c r="M33" s="508">
        <v>30</v>
      </c>
      <c r="N33" s="508">
        <v>30</v>
      </c>
      <c r="O33" s="508">
        <v>30</v>
      </c>
      <c r="P33" s="508">
        <v>30</v>
      </c>
      <c r="Q33" s="508">
        <v>30</v>
      </c>
      <c r="R33" s="508">
        <v>30</v>
      </c>
      <c r="S33" s="508">
        <v>30</v>
      </c>
      <c r="T33" s="508">
        <v>30</v>
      </c>
      <c r="U33" s="508">
        <v>30</v>
      </c>
      <c r="V33" s="508">
        <v>30</v>
      </c>
      <c r="W33" s="508">
        <v>30</v>
      </c>
      <c r="X33" s="508">
        <v>30</v>
      </c>
      <c r="Y33" s="508">
        <v>30</v>
      </c>
      <c r="Z33" s="508">
        <v>30</v>
      </c>
      <c r="AA33" s="508">
        <v>30</v>
      </c>
      <c r="AB33" s="508">
        <v>30</v>
      </c>
      <c r="AC33" s="508">
        <v>30</v>
      </c>
    </row>
    <row r="34" spans="1:29" ht="27" customHeight="1">
      <c r="A34" s="481" t="s">
        <v>58</v>
      </c>
      <c r="B34" s="487" t="s">
        <v>59</v>
      </c>
      <c r="C34" s="485" t="s">
        <v>19</v>
      </c>
      <c r="D34" s="485" t="s">
        <v>40</v>
      </c>
      <c r="E34" s="486">
        <v>0</v>
      </c>
      <c r="F34" s="490">
        <v>2129</v>
      </c>
      <c r="G34" s="490">
        <v>1503</v>
      </c>
      <c r="H34" s="525">
        <v>1454</v>
      </c>
      <c r="I34" s="525">
        <v>1672</v>
      </c>
      <c r="J34" s="507">
        <v>1187</v>
      </c>
      <c r="K34" s="508">
        <v>1052</v>
      </c>
      <c r="L34" s="508">
        <v>1052</v>
      </c>
      <c r="M34" s="508">
        <v>1052</v>
      </c>
      <c r="N34" s="508">
        <v>1052</v>
      </c>
      <c r="O34" s="508">
        <v>1052</v>
      </c>
      <c r="P34" s="508">
        <v>1052</v>
      </c>
      <c r="Q34" s="508">
        <v>1052</v>
      </c>
      <c r="R34" s="508">
        <v>1052</v>
      </c>
      <c r="S34" s="508">
        <v>1052</v>
      </c>
      <c r="T34" s="508">
        <v>1052</v>
      </c>
      <c r="U34" s="508">
        <v>1052</v>
      </c>
      <c r="V34" s="508">
        <v>1052</v>
      </c>
      <c r="W34" s="508">
        <v>1052</v>
      </c>
      <c r="X34" s="508">
        <v>1052</v>
      </c>
      <c r="Y34" s="508">
        <v>1052</v>
      </c>
      <c r="Z34" s="508">
        <v>1052</v>
      </c>
      <c r="AA34" s="508">
        <v>1052</v>
      </c>
      <c r="AB34" s="508">
        <v>1052</v>
      </c>
      <c r="AC34" s="508">
        <v>1052</v>
      </c>
    </row>
    <row r="35" spans="1:29" ht="72" customHeight="1">
      <c r="A35" s="481" t="s">
        <v>60</v>
      </c>
      <c r="B35" s="484" t="s">
        <v>61</v>
      </c>
      <c r="C35" s="485" t="s">
        <v>16</v>
      </c>
      <c r="D35" s="485" t="s">
        <v>40</v>
      </c>
      <c r="E35" s="486">
        <v>0</v>
      </c>
      <c r="F35" s="508">
        <v>0</v>
      </c>
      <c r="G35" s="508">
        <v>0</v>
      </c>
      <c r="H35" s="525">
        <v>0</v>
      </c>
      <c r="I35" s="525">
        <v>0</v>
      </c>
      <c r="J35" s="507" t="s">
        <v>29</v>
      </c>
      <c r="K35" s="508">
        <v>0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08">
        <v>0</v>
      </c>
      <c r="S35" s="508">
        <v>0</v>
      </c>
      <c r="T35" s="508">
        <v>0</v>
      </c>
      <c r="U35" s="508">
        <v>0</v>
      </c>
      <c r="V35" s="508">
        <v>0</v>
      </c>
      <c r="W35" s="508">
        <v>0</v>
      </c>
      <c r="X35" s="508">
        <v>0</v>
      </c>
      <c r="Y35" s="508">
        <f t="shared" ref="Y35:AC37" si="29">X35</f>
        <v>0</v>
      </c>
      <c r="Z35" s="508">
        <f t="shared" si="29"/>
        <v>0</v>
      </c>
      <c r="AA35" s="508">
        <f t="shared" si="29"/>
        <v>0</v>
      </c>
      <c r="AB35" s="508">
        <f t="shared" si="29"/>
        <v>0</v>
      </c>
      <c r="AC35" s="508">
        <f t="shared" si="29"/>
        <v>0</v>
      </c>
    </row>
    <row r="36" spans="1:29" ht="48" customHeight="1">
      <c r="A36" s="481" t="s">
        <v>62</v>
      </c>
      <c r="B36" s="487" t="s">
        <v>57</v>
      </c>
      <c r="C36" s="485" t="s">
        <v>19</v>
      </c>
      <c r="D36" s="485" t="s">
        <v>40</v>
      </c>
      <c r="E36" s="486">
        <v>0</v>
      </c>
      <c r="F36" s="508">
        <v>0</v>
      </c>
      <c r="G36" s="508">
        <v>0</v>
      </c>
      <c r="H36" s="525">
        <v>0</v>
      </c>
      <c r="I36" s="525">
        <v>0</v>
      </c>
      <c r="J36" s="507" t="s">
        <v>29</v>
      </c>
      <c r="K36" s="508">
        <v>0</v>
      </c>
      <c r="L36" s="508">
        <v>0</v>
      </c>
      <c r="M36" s="508">
        <v>0</v>
      </c>
      <c r="N36" s="508">
        <v>0</v>
      </c>
      <c r="O36" s="508">
        <v>0</v>
      </c>
      <c r="P36" s="508">
        <v>0</v>
      </c>
      <c r="Q36" s="508">
        <v>0</v>
      </c>
      <c r="R36" s="508">
        <v>0</v>
      </c>
      <c r="S36" s="508">
        <v>0</v>
      </c>
      <c r="T36" s="508">
        <v>0</v>
      </c>
      <c r="U36" s="508">
        <v>0</v>
      </c>
      <c r="V36" s="508">
        <v>0</v>
      </c>
      <c r="W36" s="508">
        <v>0</v>
      </c>
      <c r="X36" s="508">
        <v>0</v>
      </c>
      <c r="Y36" s="508">
        <f t="shared" si="29"/>
        <v>0</v>
      </c>
      <c r="Z36" s="508">
        <f t="shared" si="29"/>
        <v>0</v>
      </c>
      <c r="AA36" s="508">
        <f t="shared" si="29"/>
        <v>0</v>
      </c>
      <c r="AB36" s="508">
        <f t="shared" si="29"/>
        <v>0</v>
      </c>
      <c r="AC36" s="508">
        <f t="shared" si="29"/>
        <v>0</v>
      </c>
    </row>
    <row r="37" spans="1:29" ht="15.75">
      <c r="A37" s="481" t="s">
        <v>63</v>
      </c>
      <c r="B37" s="487" t="s">
        <v>59</v>
      </c>
      <c r="C37" s="485" t="s">
        <v>19</v>
      </c>
      <c r="D37" s="485" t="s">
        <v>40</v>
      </c>
      <c r="E37" s="486">
        <v>0</v>
      </c>
      <c r="F37" s="508">
        <v>0</v>
      </c>
      <c r="G37" s="508">
        <v>0</v>
      </c>
      <c r="H37" s="525">
        <v>0</v>
      </c>
      <c r="I37" s="525">
        <v>0</v>
      </c>
      <c r="J37" s="507" t="s">
        <v>29</v>
      </c>
      <c r="K37" s="508">
        <v>0</v>
      </c>
      <c r="L37" s="508">
        <v>0</v>
      </c>
      <c r="M37" s="508">
        <v>0</v>
      </c>
      <c r="N37" s="508">
        <v>0</v>
      </c>
      <c r="O37" s="508">
        <v>0</v>
      </c>
      <c r="P37" s="508">
        <v>0</v>
      </c>
      <c r="Q37" s="508">
        <v>0</v>
      </c>
      <c r="R37" s="508">
        <v>0</v>
      </c>
      <c r="S37" s="508">
        <v>0</v>
      </c>
      <c r="T37" s="508">
        <v>0</v>
      </c>
      <c r="U37" s="508">
        <v>0</v>
      </c>
      <c r="V37" s="508">
        <v>0</v>
      </c>
      <c r="W37" s="508">
        <v>0</v>
      </c>
      <c r="X37" s="508">
        <v>0</v>
      </c>
      <c r="Y37" s="508">
        <f t="shared" si="29"/>
        <v>0</v>
      </c>
      <c r="Z37" s="508">
        <f t="shared" si="29"/>
        <v>0</v>
      </c>
      <c r="AA37" s="508">
        <f t="shared" si="29"/>
        <v>0</v>
      </c>
      <c r="AB37" s="508">
        <f t="shared" si="29"/>
        <v>0</v>
      </c>
      <c r="AC37" s="508">
        <f t="shared" si="29"/>
        <v>0</v>
      </c>
    </row>
    <row r="38" spans="1:29" ht="15.75">
      <c r="A38" s="481" t="s">
        <v>64</v>
      </c>
      <c r="B38" s="484" t="s">
        <v>65</v>
      </c>
      <c r="C38" s="485"/>
      <c r="D38" s="485" t="s">
        <v>40</v>
      </c>
      <c r="E38" s="485"/>
      <c r="F38" s="493"/>
      <c r="G38" s="493"/>
      <c r="H38" s="489"/>
      <c r="I38" s="489"/>
      <c r="J38" s="509" t="s">
        <v>29</v>
      </c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</row>
    <row r="39" spans="1:29" ht="44.1" customHeight="1">
      <c r="A39" s="481" t="s">
        <v>66</v>
      </c>
      <c r="B39" s="484" t="s">
        <v>67</v>
      </c>
      <c r="C39" s="485" t="s">
        <v>68</v>
      </c>
      <c r="D39" s="485" t="s">
        <v>40</v>
      </c>
      <c r="E39" s="486">
        <v>0</v>
      </c>
      <c r="F39" s="488">
        <f t="shared" ref="F39:AC39" si="30">F40/F41</f>
        <v>1.1681390085420165</v>
      </c>
      <c r="G39" s="488">
        <f t="shared" si="30"/>
        <v>12.394423232673839</v>
      </c>
      <c r="H39" s="489">
        <f t="shared" si="30"/>
        <v>0.97999824289628068</v>
      </c>
      <c r="I39" s="489">
        <f t="shared" si="30"/>
        <v>0.98135497185230391</v>
      </c>
      <c r="J39" s="509">
        <f t="shared" si="30"/>
        <v>2.156956807561786</v>
      </c>
      <c r="K39" s="498">
        <f t="shared" si="30"/>
        <v>2.0683082279860403</v>
      </c>
      <c r="L39" s="498">
        <f t="shared" si="30"/>
        <v>1.9687708798748842</v>
      </c>
      <c r="M39" s="498">
        <f t="shared" si="30"/>
        <v>1.8741858020161264</v>
      </c>
      <c r="N39" s="498">
        <f t="shared" si="30"/>
        <v>1.7866070262209803</v>
      </c>
      <c r="O39" s="498">
        <f t="shared" si="30"/>
        <v>1.6990282504258343</v>
      </c>
      <c r="P39" s="498">
        <f t="shared" si="30"/>
        <v>1.6184557766943</v>
      </c>
      <c r="Q39" s="498">
        <f t="shared" si="30"/>
        <v>1.5413864539945714</v>
      </c>
      <c r="R39" s="498">
        <f t="shared" si="30"/>
        <v>1.4678202823266486</v>
      </c>
      <c r="S39" s="498">
        <f t="shared" si="30"/>
        <v>1.4117698658177551</v>
      </c>
      <c r="T39" s="498">
        <f t="shared" si="30"/>
        <v>1.3592226003406673</v>
      </c>
      <c r="U39" s="498">
        <f t="shared" si="30"/>
        <v>1.3066753348635798</v>
      </c>
      <c r="V39" s="498">
        <f t="shared" si="30"/>
        <v>1.254128069386492</v>
      </c>
      <c r="W39" s="498">
        <f t="shared" si="30"/>
        <v>1.2085871059730162</v>
      </c>
      <c r="X39" s="498">
        <f t="shared" si="30"/>
        <v>1.1595429915277342</v>
      </c>
      <c r="Y39" s="498">
        <f t="shared" si="30"/>
        <v>1.1175051791460642</v>
      </c>
      <c r="Z39" s="498">
        <f t="shared" si="30"/>
        <v>1.0719642157325882</v>
      </c>
      <c r="AA39" s="498">
        <f t="shared" si="30"/>
        <v>1.0229201012873064</v>
      </c>
      <c r="AB39" s="498">
        <f t="shared" si="30"/>
        <v>0.9843854399374421</v>
      </c>
      <c r="AC39" s="498">
        <f t="shared" si="30"/>
        <v>0.97387598684202459</v>
      </c>
    </row>
    <row r="40" spans="1:29" ht="15.75">
      <c r="A40" s="481" t="s">
        <v>69</v>
      </c>
      <c r="B40" s="487" t="s">
        <v>34</v>
      </c>
      <c r="C40" s="485" t="s">
        <v>19</v>
      </c>
      <c r="D40" s="485" t="s">
        <v>40</v>
      </c>
      <c r="E40" s="486">
        <v>0</v>
      </c>
      <c r="F40" s="490">
        <v>320</v>
      </c>
      <c r="G40" s="490">
        <v>3428</v>
      </c>
      <c r="H40" s="491">
        <v>273.29014999999998</v>
      </c>
      <c r="I40" s="491">
        <v>274</v>
      </c>
      <c r="J40" s="514">
        <v>607</v>
      </c>
      <c r="K40" s="490">
        <v>590</v>
      </c>
      <c r="L40" s="490">
        <v>562</v>
      </c>
      <c r="M40" s="490">
        <v>535</v>
      </c>
      <c r="N40" s="490">
        <v>510</v>
      </c>
      <c r="O40" s="490">
        <v>485</v>
      </c>
      <c r="P40" s="490">
        <v>462</v>
      </c>
      <c r="Q40" s="490">
        <v>440</v>
      </c>
      <c r="R40" s="490">
        <v>419</v>
      </c>
      <c r="S40" s="490">
        <v>403</v>
      </c>
      <c r="T40" s="490">
        <v>388</v>
      </c>
      <c r="U40" s="490">
        <v>373</v>
      </c>
      <c r="V40" s="490">
        <v>358</v>
      </c>
      <c r="W40" s="490">
        <v>345</v>
      </c>
      <c r="X40" s="490">
        <v>331</v>
      </c>
      <c r="Y40" s="490">
        <v>319</v>
      </c>
      <c r="Z40" s="490">
        <v>306</v>
      </c>
      <c r="AA40" s="490">
        <v>292</v>
      </c>
      <c r="AB40" s="490">
        <v>281</v>
      </c>
      <c r="AC40" s="490">
        <v>278</v>
      </c>
    </row>
    <row r="41" spans="1:29" ht="15.75">
      <c r="A41" s="481" t="s">
        <v>70</v>
      </c>
      <c r="B41" s="487" t="s">
        <v>71</v>
      </c>
      <c r="C41" s="485" t="s">
        <v>37</v>
      </c>
      <c r="D41" s="485" t="s">
        <v>40</v>
      </c>
      <c r="E41" s="486">
        <v>0</v>
      </c>
      <c r="F41" s="488">
        <v>273.94</v>
      </c>
      <c r="G41" s="488">
        <v>276.57600000000002</v>
      </c>
      <c r="H41" s="489">
        <v>278.86799999999999</v>
      </c>
      <c r="I41" s="489">
        <v>279.20580000000001</v>
      </c>
      <c r="J41" s="509">
        <v>281.41500000000002</v>
      </c>
      <c r="K41" s="498">
        <v>285.25729000000001</v>
      </c>
      <c r="L41" s="498">
        <v>285.45729</v>
      </c>
      <c r="M41" s="498">
        <v>285.45729</v>
      </c>
      <c r="N41" s="498">
        <v>285.45729</v>
      </c>
      <c r="O41" s="498">
        <v>285.45729</v>
      </c>
      <c r="P41" s="498">
        <v>285.45729</v>
      </c>
      <c r="Q41" s="498">
        <v>285.45729</v>
      </c>
      <c r="R41" s="498">
        <v>285.45729</v>
      </c>
      <c r="S41" s="498">
        <v>285.45729</v>
      </c>
      <c r="T41" s="498">
        <v>285.45729</v>
      </c>
      <c r="U41" s="498">
        <v>285.45729</v>
      </c>
      <c r="V41" s="498">
        <v>285.45729</v>
      </c>
      <c r="W41" s="498">
        <v>285.45729</v>
      </c>
      <c r="X41" s="498">
        <v>285.45729</v>
      </c>
      <c r="Y41" s="498">
        <v>285.45729</v>
      </c>
      <c r="Z41" s="498">
        <v>285.45729</v>
      </c>
      <c r="AA41" s="498">
        <v>285.45729</v>
      </c>
      <c r="AB41" s="498">
        <v>285.45729</v>
      </c>
      <c r="AC41" s="498">
        <v>285.45729</v>
      </c>
    </row>
    <row r="42" spans="1:29" ht="31.5" customHeight="1">
      <c r="A42" s="577" t="s">
        <v>72</v>
      </c>
      <c r="B42" s="577"/>
      <c r="C42" s="500" t="s">
        <v>73</v>
      </c>
      <c r="D42" s="480" t="s">
        <v>10</v>
      </c>
      <c r="E42" s="480"/>
      <c r="F42" s="526"/>
      <c r="G42" s="526"/>
      <c r="H42" s="527"/>
      <c r="I42" s="527"/>
      <c r="J42" s="515" t="s">
        <v>29</v>
      </c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</row>
    <row r="43" spans="1:29" ht="31.5">
      <c r="A43" s="481" t="s">
        <v>74</v>
      </c>
      <c r="B43" s="484" t="s">
        <v>72</v>
      </c>
      <c r="C43" s="485"/>
      <c r="D43" s="485" t="s">
        <v>10</v>
      </c>
      <c r="E43" s="485" t="s">
        <v>75</v>
      </c>
      <c r="F43" s="493"/>
      <c r="G43" s="493"/>
      <c r="H43" s="489"/>
      <c r="I43" s="489"/>
      <c r="J43" s="509" t="s">
        <v>29</v>
      </c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</row>
    <row r="44" spans="1:29" ht="47.25">
      <c r="A44" s="481" t="s">
        <v>76</v>
      </c>
      <c r="B44" s="484" t="s">
        <v>77</v>
      </c>
      <c r="C44" s="485" t="s">
        <v>16</v>
      </c>
      <c r="D44" s="485" t="s">
        <v>13</v>
      </c>
      <c r="E44" s="485" t="s">
        <v>75</v>
      </c>
      <c r="F44" s="511">
        <f t="shared" ref="F44:AC44" si="31">F45/F46</f>
        <v>0.33011390688593578</v>
      </c>
      <c r="G44" s="511">
        <f t="shared" si="31"/>
        <v>0.35119295732775679</v>
      </c>
      <c r="H44" s="495">
        <f t="shared" si="31"/>
        <v>0.30866512102019023</v>
      </c>
      <c r="I44" s="495">
        <f t="shared" si="31"/>
        <v>0.34056036351704533</v>
      </c>
      <c r="J44" s="510">
        <f t="shared" si="31"/>
        <v>0.3912995759987995</v>
      </c>
      <c r="K44" s="511">
        <f t="shared" si="31"/>
        <v>0.3912995759987995</v>
      </c>
      <c r="L44" s="511">
        <f t="shared" si="31"/>
        <v>0.39129999999999998</v>
      </c>
      <c r="M44" s="511">
        <f t="shared" si="31"/>
        <v>0.39129999999999998</v>
      </c>
      <c r="N44" s="511">
        <f t="shared" si="31"/>
        <v>0.39129999999999998</v>
      </c>
      <c r="O44" s="511">
        <f t="shared" si="31"/>
        <v>0.39129999999999998</v>
      </c>
      <c r="P44" s="511">
        <f t="shared" si="31"/>
        <v>0.39129999999999998</v>
      </c>
      <c r="Q44" s="511">
        <f t="shared" si="31"/>
        <v>0.39129999999999998</v>
      </c>
      <c r="R44" s="511">
        <f t="shared" si="31"/>
        <v>0.39129999999999998</v>
      </c>
      <c r="S44" s="511">
        <f t="shared" si="31"/>
        <v>0.39129999999999998</v>
      </c>
      <c r="T44" s="511">
        <f t="shared" si="31"/>
        <v>0.39129999999999998</v>
      </c>
      <c r="U44" s="511">
        <f t="shared" si="31"/>
        <v>0.39129999999999998</v>
      </c>
      <c r="V44" s="511">
        <f t="shared" si="31"/>
        <v>0.39129999999999998</v>
      </c>
      <c r="W44" s="511">
        <f t="shared" si="31"/>
        <v>0.39129999999999998</v>
      </c>
      <c r="X44" s="511">
        <f t="shared" si="31"/>
        <v>0.39129999999999998</v>
      </c>
      <c r="Y44" s="511">
        <f t="shared" si="31"/>
        <v>0.39129999999999998</v>
      </c>
      <c r="Z44" s="511">
        <f t="shared" si="31"/>
        <v>0.39129999999999998</v>
      </c>
      <c r="AA44" s="511">
        <f t="shared" si="31"/>
        <v>0.39129999999999998</v>
      </c>
      <c r="AB44" s="511">
        <f t="shared" si="31"/>
        <v>0.39129999999999998</v>
      </c>
      <c r="AC44" s="511">
        <f t="shared" si="31"/>
        <v>0.39129999999999998</v>
      </c>
    </row>
    <row r="45" spans="1:29" ht="44.1" customHeight="1">
      <c r="A45" s="481" t="s">
        <v>78</v>
      </c>
      <c r="B45" s="487" t="s">
        <v>79</v>
      </c>
      <c r="C45" s="485" t="s">
        <v>45</v>
      </c>
      <c r="D45" s="485" t="s">
        <v>13</v>
      </c>
      <c r="E45" s="485"/>
      <c r="F45" s="498">
        <v>6415.5020000000004</v>
      </c>
      <c r="G45" s="498">
        <v>6605.1503967599901</v>
      </c>
      <c r="H45" s="489">
        <v>5417.0432420527204</v>
      </c>
      <c r="I45" s="489">
        <v>6251.9599363095804</v>
      </c>
      <c r="J45" s="516">
        <v>6988</v>
      </c>
      <c r="K45" s="498">
        <v>6988</v>
      </c>
      <c r="L45" s="498">
        <f>L46*0.3913</f>
        <v>6806.5241538079354</v>
      </c>
      <c r="M45" s="498">
        <f t="shared" ref="M45:AC45" si="32">$L$45</f>
        <v>6806.5241538079354</v>
      </c>
      <c r="N45" s="498">
        <f t="shared" si="32"/>
        <v>6806.5241538079354</v>
      </c>
      <c r="O45" s="498">
        <f t="shared" si="32"/>
        <v>6806.5241538079354</v>
      </c>
      <c r="P45" s="498">
        <f t="shared" si="32"/>
        <v>6806.5241538079354</v>
      </c>
      <c r="Q45" s="498">
        <f t="shared" si="32"/>
        <v>6806.5241538079354</v>
      </c>
      <c r="R45" s="498">
        <f t="shared" si="32"/>
        <v>6806.5241538079354</v>
      </c>
      <c r="S45" s="498">
        <f t="shared" si="32"/>
        <v>6806.5241538079354</v>
      </c>
      <c r="T45" s="498">
        <f t="shared" si="32"/>
        <v>6806.5241538079354</v>
      </c>
      <c r="U45" s="498">
        <f t="shared" si="32"/>
        <v>6806.5241538079354</v>
      </c>
      <c r="V45" s="498">
        <f t="shared" si="32"/>
        <v>6806.5241538079354</v>
      </c>
      <c r="W45" s="498">
        <f t="shared" si="32"/>
        <v>6806.5241538079354</v>
      </c>
      <c r="X45" s="498">
        <f t="shared" si="32"/>
        <v>6806.5241538079354</v>
      </c>
      <c r="Y45" s="498">
        <f t="shared" si="32"/>
        <v>6806.5241538079354</v>
      </c>
      <c r="Z45" s="498">
        <f t="shared" si="32"/>
        <v>6806.5241538079354</v>
      </c>
      <c r="AA45" s="498">
        <f t="shared" si="32"/>
        <v>6806.5241538079354</v>
      </c>
      <c r="AB45" s="498">
        <f t="shared" si="32"/>
        <v>6806.5241538079354</v>
      </c>
      <c r="AC45" s="498">
        <f t="shared" si="32"/>
        <v>6806.5241538079354</v>
      </c>
    </row>
    <row r="46" spans="1:29" ht="15.75">
      <c r="A46" s="481" t="s">
        <v>80</v>
      </c>
      <c r="B46" s="487" t="s">
        <v>81</v>
      </c>
      <c r="C46" s="485" t="s">
        <v>45</v>
      </c>
      <c r="D46" s="485" t="s">
        <v>13</v>
      </c>
      <c r="E46" s="485"/>
      <c r="F46" s="498">
        <v>19434.206999999999</v>
      </c>
      <c r="G46" s="498">
        <v>18807.753000000001</v>
      </c>
      <c r="H46" s="489">
        <v>17549.903999999999</v>
      </c>
      <c r="I46" s="489">
        <v>18357.861354575001</v>
      </c>
      <c r="J46" s="509">
        <v>17858.439999999999</v>
      </c>
      <c r="K46" s="498">
        <v>17858.439999999999</v>
      </c>
      <c r="L46" s="498">
        <f>'Прил 6 (8)'!J17*100/(100-39.13)</f>
        <v>17394.643889107938</v>
      </c>
      <c r="M46" s="498">
        <f>$L$46</f>
        <v>17394.643889107938</v>
      </c>
      <c r="N46" s="498">
        <f t="shared" ref="N46:AC46" si="33">$L$46</f>
        <v>17394.643889107938</v>
      </c>
      <c r="O46" s="498">
        <f t="shared" si="33"/>
        <v>17394.643889107938</v>
      </c>
      <c r="P46" s="498">
        <f t="shared" si="33"/>
        <v>17394.643889107938</v>
      </c>
      <c r="Q46" s="498">
        <f t="shared" si="33"/>
        <v>17394.643889107938</v>
      </c>
      <c r="R46" s="498">
        <f t="shared" si="33"/>
        <v>17394.643889107938</v>
      </c>
      <c r="S46" s="498">
        <f t="shared" si="33"/>
        <v>17394.643889107938</v>
      </c>
      <c r="T46" s="498">
        <f t="shared" si="33"/>
        <v>17394.643889107938</v>
      </c>
      <c r="U46" s="498">
        <f t="shared" si="33"/>
        <v>17394.643889107938</v>
      </c>
      <c r="V46" s="498">
        <f t="shared" si="33"/>
        <v>17394.643889107938</v>
      </c>
      <c r="W46" s="498">
        <f t="shared" si="33"/>
        <v>17394.643889107938</v>
      </c>
      <c r="X46" s="498">
        <f t="shared" si="33"/>
        <v>17394.643889107938</v>
      </c>
      <c r="Y46" s="498">
        <f t="shared" si="33"/>
        <v>17394.643889107938</v>
      </c>
      <c r="Z46" s="498">
        <f t="shared" si="33"/>
        <v>17394.643889107938</v>
      </c>
      <c r="AA46" s="498">
        <f t="shared" si="33"/>
        <v>17394.643889107938</v>
      </c>
      <c r="AB46" s="498">
        <f t="shared" si="33"/>
        <v>17394.643889107938</v>
      </c>
      <c r="AC46" s="498">
        <f t="shared" si="33"/>
        <v>17394.643889107938</v>
      </c>
    </row>
    <row r="47" spans="1:29" ht="56.1" customHeight="1">
      <c r="A47" s="481" t="s">
        <v>82</v>
      </c>
      <c r="B47" s="484" t="s">
        <v>83</v>
      </c>
      <c r="C47" s="485" t="s">
        <v>84</v>
      </c>
      <c r="D47" s="485" t="s">
        <v>13</v>
      </c>
      <c r="E47" s="485" t="s">
        <v>75</v>
      </c>
      <c r="F47" s="518">
        <f t="shared" ref="F47:K47" si="34">F48/F49</f>
        <v>1.0036233019438354</v>
      </c>
      <c r="G47" s="518">
        <f t="shared" si="34"/>
        <v>0.99653525862446191</v>
      </c>
      <c r="H47" s="528">
        <f t="shared" si="34"/>
        <v>0.960986567219969</v>
      </c>
      <c r="I47" s="528">
        <f t="shared" si="34"/>
        <v>0.87853310843208376</v>
      </c>
      <c r="J47" s="517">
        <f t="shared" si="34"/>
        <v>0.90497770241969633</v>
      </c>
      <c r="K47" s="518">
        <f t="shared" si="34"/>
        <v>0.90497770241969633</v>
      </c>
      <c r="L47" s="518">
        <f t="shared" ref="L47" si="35">L48/L49</f>
        <v>0.90500000000000091</v>
      </c>
      <c r="M47" s="518">
        <f t="shared" ref="M47" si="36">M48/M49</f>
        <v>0.90500000000000091</v>
      </c>
      <c r="N47" s="518">
        <f t="shared" ref="N47" si="37">N48/N49</f>
        <v>0.90500000000000091</v>
      </c>
      <c r="O47" s="518">
        <f t="shared" ref="O47" si="38">O48/O49</f>
        <v>0.90500000000000091</v>
      </c>
      <c r="P47" s="518">
        <f t="shared" ref="P47" si="39">P48/P49</f>
        <v>0.90500000000000091</v>
      </c>
      <c r="Q47" s="518">
        <f t="shared" ref="Q47" si="40">Q48/Q49</f>
        <v>0.90500000000000091</v>
      </c>
      <c r="R47" s="518">
        <f t="shared" ref="R47" si="41">R48/R49</f>
        <v>0.90500000000000091</v>
      </c>
      <c r="S47" s="518">
        <f t="shared" ref="S47" si="42">S48/S49</f>
        <v>0.90500000000000091</v>
      </c>
      <c r="T47" s="518">
        <f t="shared" ref="T47" si="43">T48/T49</f>
        <v>0.90500000000000091</v>
      </c>
      <c r="U47" s="518">
        <f t="shared" ref="U47" si="44">U48/U49</f>
        <v>0.90500000000000091</v>
      </c>
      <c r="V47" s="518">
        <f t="shared" ref="V47" si="45">V48/V49</f>
        <v>0.90500000000000091</v>
      </c>
      <c r="W47" s="518">
        <f t="shared" ref="W47" si="46">W48/W49</f>
        <v>0.90500000000000091</v>
      </c>
      <c r="X47" s="518">
        <f t="shared" ref="X47" si="47">X48/X49</f>
        <v>0.90500000000000091</v>
      </c>
      <c r="Y47" s="518">
        <f t="shared" ref="Y47" si="48">Y48/Y49</f>
        <v>0.90500000000000091</v>
      </c>
      <c r="Z47" s="518">
        <f t="shared" ref="Z47" si="49">Z48/Z49</f>
        <v>0.90500000000000091</v>
      </c>
      <c r="AA47" s="518">
        <f t="shared" ref="AA47" si="50">AA48/AA49</f>
        <v>0.90500000000000091</v>
      </c>
      <c r="AB47" s="518">
        <f t="shared" ref="AB47" si="51">AB48/AB49</f>
        <v>0.90500000000000091</v>
      </c>
      <c r="AC47" s="518">
        <f t="shared" ref="AC47" si="52">AC48/AC49</f>
        <v>0.90500000000000091</v>
      </c>
    </row>
    <row r="48" spans="1:29" ht="44.1" customHeight="1">
      <c r="A48" s="481" t="s">
        <v>85</v>
      </c>
      <c r="B48" s="487" t="s">
        <v>86</v>
      </c>
      <c r="C48" s="485" t="s">
        <v>87</v>
      </c>
      <c r="D48" s="485" t="s">
        <v>13</v>
      </c>
      <c r="E48" s="485"/>
      <c r="F48" s="498">
        <v>19504.623</v>
      </c>
      <c r="G48" s="498">
        <v>18742.589</v>
      </c>
      <c r="H48" s="489">
        <v>16865.222000000002</v>
      </c>
      <c r="I48" s="489">
        <v>16127.989</v>
      </c>
      <c r="J48" s="509">
        <v>16161.49</v>
      </c>
      <c r="K48" s="498">
        <v>16161.49</v>
      </c>
      <c r="L48" s="498">
        <v>15742.1527196427</v>
      </c>
      <c r="M48" s="498">
        <v>15742.1527196427</v>
      </c>
      <c r="N48" s="498">
        <v>15742.1527196427</v>
      </c>
      <c r="O48" s="498">
        <v>15742.1527196427</v>
      </c>
      <c r="P48" s="498">
        <v>15742.1527196427</v>
      </c>
      <c r="Q48" s="498">
        <v>15742.1527196427</v>
      </c>
      <c r="R48" s="498">
        <v>15742.1527196427</v>
      </c>
      <c r="S48" s="498">
        <v>15742.1527196427</v>
      </c>
      <c r="T48" s="498">
        <v>15742.1527196427</v>
      </c>
      <c r="U48" s="498">
        <v>15742.1527196427</v>
      </c>
      <c r="V48" s="498">
        <v>15742.1527196427</v>
      </c>
      <c r="W48" s="498">
        <v>15742.1527196427</v>
      </c>
      <c r="X48" s="498">
        <v>15742.1527196427</v>
      </c>
      <c r="Y48" s="498">
        <v>15742.1527196427</v>
      </c>
      <c r="Z48" s="498">
        <v>15742.1527196427</v>
      </c>
      <c r="AA48" s="498">
        <v>15742.1527196427</v>
      </c>
      <c r="AB48" s="498">
        <v>15742.1527196427</v>
      </c>
      <c r="AC48" s="498">
        <v>15742.1527196427</v>
      </c>
    </row>
    <row r="49" spans="1:29" ht="42.95" customHeight="1">
      <c r="A49" s="481" t="s">
        <v>88</v>
      </c>
      <c r="B49" s="487" t="s">
        <v>89</v>
      </c>
      <c r="C49" s="485" t="s">
        <v>45</v>
      </c>
      <c r="D49" s="485" t="s">
        <v>13</v>
      </c>
      <c r="E49" s="485"/>
      <c r="F49" s="498">
        <v>19434.206999999999</v>
      </c>
      <c r="G49" s="498">
        <v>18807.753000000001</v>
      </c>
      <c r="H49" s="489">
        <v>17549.903999999999</v>
      </c>
      <c r="I49" s="489">
        <v>18357.861354575001</v>
      </c>
      <c r="J49" s="509">
        <f>J46</f>
        <v>17858.439999999999</v>
      </c>
      <c r="K49" s="498">
        <f t="shared" ref="K49:X49" si="53">K46</f>
        <v>17858.439999999999</v>
      </c>
      <c r="L49" s="498">
        <f t="shared" si="53"/>
        <v>17394.643889107938</v>
      </c>
      <c r="M49" s="498">
        <f t="shared" si="53"/>
        <v>17394.643889107938</v>
      </c>
      <c r="N49" s="498">
        <f t="shared" si="53"/>
        <v>17394.643889107938</v>
      </c>
      <c r="O49" s="498">
        <f t="shared" si="53"/>
        <v>17394.643889107938</v>
      </c>
      <c r="P49" s="498">
        <f t="shared" si="53"/>
        <v>17394.643889107938</v>
      </c>
      <c r="Q49" s="498">
        <f t="shared" si="53"/>
        <v>17394.643889107938</v>
      </c>
      <c r="R49" s="498">
        <f t="shared" si="53"/>
        <v>17394.643889107938</v>
      </c>
      <c r="S49" s="498">
        <f t="shared" si="53"/>
        <v>17394.643889107938</v>
      </c>
      <c r="T49" s="498">
        <f t="shared" si="53"/>
        <v>17394.643889107938</v>
      </c>
      <c r="U49" s="498">
        <f t="shared" si="53"/>
        <v>17394.643889107938</v>
      </c>
      <c r="V49" s="498">
        <f t="shared" si="53"/>
        <v>17394.643889107938</v>
      </c>
      <c r="W49" s="498">
        <f t="shared" si="53"/>
        <v>17394.643889107938</v>
      </c>
      <c r="X49" s="498">
        <f t="shared" si="53"/>
        <v>17394.643889107938</v>
      </c>
      <c r="Y49" s="498">
        <f t="shared" ref="Y49:AC49" si="54">X49</f>
        <v>17394.643889107938</v>
      </c>
      <c r="Z49" s="498">
        <f t="shared" si="54"/>
        <v>17394.643889107938</v>
      </c>
      <c r="AA49" s="498">
        <f t="shared" si="54"/>
        <v>17394.643889107938</v>
      </c>
      <c r="AB49" s="498">
        <f t="shared" si="54"/>
        <v>17394.643889107938</v>
      </c>
      <c r="AC49" s="498">
        <f t="shared" si="54"/>
        <v>17394.643889107938</v>
      </c>
    </row>
    <row r="50" spans="1:29" ht="47.25">
      <c r="A50" s="481" t="s">
        <v>90</v>
      </c>
      <c r="B50" s="484" t="s">
        <v>91</v>
      </c>
      <c r="C50" s="485" t="s">
        <v>84</v>
      </c>
      <c r="D50" s="485" t="s">
        <v>13</v>
      </c>
      <c r="E50" s="485" t="s">
        <v>75</v>
      </c>
      <c r="F50" s="518">
        <f t="shared" ref="F50:K50" si="55">F51/F52</f>
        <v>0.2521591953816279</v>
      </c>
      <c r="G50" s="518">
        <f t="shared" si="55"/>
        <v>0.25885564320203486</v>
      </c>
      <c r="H50" s="528">
        <f t="shared" si="55"/>
        <v>0.27300639365320745</v>
      </c>
      <c r="I50" s="528">
        <f t="shared" si="55"/>
        <v>0.26176262622238594</v>
      </c>
      <c r="J50" s="519">
        <f t="shared" si="55"/>
        <v>0.28899999104065083</v>
      </c>
      <c r="K50" s="518">
        <f t="shared" si="55"/>
        <v>0.28899999104065083</v>
      </c>
      <c r="L50" s="518">
        <f t="shared" ref="L50" si="56">L51/L52</f>
        <v>0.28899999999999976</v>
      </c>
      <c r="M50" s="518">
        <f t="shared" ref="M50" si="57">M51/M52</f>
        <v>0.28899999999999976</v>
      </c>
      <c r="N50" s="518">
        <f t="shared" ref="N50" si="58">N51/N52</f>
        <v>0.28899999999999976</v>
      </c>
      <c r="O50" s="518">
        <f t="shared" ref="O50" si="59">O51/O52</f>
        <v>0.28899999999999976</v>
      </c>
      <c r="P50" s="518">
        <f t="shared" ref="P50" si="60">P51/P52</f>
        <v>0.28899999999999976</v>
      </c>
      <c r="Q50" s="518">
        <f t="shared" ref="Q50" si="61">Q51/Q52</f>
        <v>0.28899999999999976</v>
      </c>
      <c r="R50" s="518">
        <f t="shared" ref="R50" si="62">R51/R52</f>
        <v>0.28899999999999976</v>
      </c>
      <c r="S50" s="518">
        <f t="shared" ref="S50" si="63">S51/S52</f>
        <v>0.28899999999999976</v>
      </c>
      <c r="T50" s="518">
        <f t="shared" ref="T50" si="64">T51/T52</f>
        <v>0.28899999999999976</v>
      </c>
      <c r="U50" s="518">
        <f t="shared" ref="U50" si="65">U51/U52</f>
        <v>0.28899999999999976</v>
      </c>
      <c r="V50" s="518">
        <f t="shared" ref="V50" si="66">V51/V52</f>
        <v>0.28899999999999976</v>
      </c>
      <c r="W50" s="518">
        <f t="shared" ref="W50" si="67">W51/W52</f>
        <v>0.28899999999999976</v>
      </c>
      <c r="X50" s="518">
        <f t="shared" ref="X50" si="68">X51/X52</f>
        <v>0.28899999999999976</v>
      </c>
      <c r="Y50" s="518">
        <f t="shared" ref="Y50" si="69">Y51/Y52</f>
        <v>0.28899999999999976</v>
      </c>
      <c r="Z50" s="518">
        <f t="shared" ref="Z50" si="70">Z51/Z52</f>
        <v>0.28899999999999976</v>
      </c>
      <c r="AA50" s="518">
        <f t="shared" ref="AA50" si="71">AA51/AA52</f>
        <v>0.28899999999999976</v>
      </c>
      <c r="AB50" s="518">
        <f t="shared" ref="AB50" si="72">AB51/AB52</f>
        <v>0.28899999999999976</v>
      </c>
      <c r="AC50" s="518">
        <f t="shared" ref="AC50" si="73">AC51/AC52</f>
        <v>0.28899999999999976</v>
      </c>
    </row>
    <row r="51" spans="1:29" ht="31.5">
      <c r="A51" s="481" t="s">
        <v>92</v>
      </c>
      <c r="B51" s="487" t="s">
        <v>86</v>
      </c>
      <c r="C51" s="485" t="s">
        <v>87</v>
      </c>
      <c r="D51" s="485" t="s">
        <v>13</v>
      </c>
      <c r="E51" s="485"/>
      <c r="F51" s="498">
        <v>4900.5140000000001</v>
      </c>
      <c r="G51" s="498">
        <v>4868.4930000000004</v>
      </c>
      <c r="H51" s="489">
        <v>4791.2359999999999</v>
      </c>
      <c r="I51" s="489">
        <v>4805.402</v>
      </c>
      <c r="J51" s="520">
        <v>5161.0889999999999</v>
      </c>
      <c r="K51" s="518">
        <v>5161.0889999999999</v>
      </c>
      <c r="L51" s="518">
        <v>5027.0520839521896</v>
      </c>
      <c r="M51" s="518">
        <v>5027.0520839521896</v>
      </c>
      <c r="N51" s="518">
        <v>5027.0520839521896</v>
      </c>
      <c r="O51" s="518">
        <v>5027.0520839521896</v>
      </c>
      <c r="P51" s="518">
        <v>5027.0520839521896</v>
      </c>
      <c r="Q51" s="518">
        <v>5027.0520839521896</v>
      </c>
      <c r="R51" s="518">
        <v>5027.0520839521896</v>
      </c>
      <c r="S51" s="518">
        <v>5027.0520839521896</v>
      </c>
      <c r="T51" s="518">
        <v>5027.0520839521896</v>
      </c>
      <c r="U51" s="518">
        <v>5027.0520839521896</v>
      </c>
      <c r="V51" s="518">
        <v>5027.0520839521896</v>
      </c>
      <c r="W51" s="518">
        <v>5027.0520839521896</v>
      </c>
      <c r="X51" s="518">
        <v>5027.0520839521896</v>
      </c>
      <c r="Y51" s="518">
        <v>5027.0520839521896</v>
      </c>
      <c r="Z51" s="518">
        <v>5027.0520839521896</v>
      </c>
      <c r="AA51" s="518">
        <v>5027.0520839521896</v>
      </c>
      <c r="AB51" s="518">
        <v>5027.0520839521896</v>
      </c>
      <c r="AC51" s="518">
        <v>5027.0520839521896</v>
      </c>
    </row>
    <row r="52" spans="1:29" ht="15.75">
      <c r="A52" s="481" t="s">
        <v>93</v>
      </c>
      <c r="B52" s="487" t="s">
        <v>94</v>
      </c>
      <c r="C52" s="485" t="s">
        <v>45</v>
      </c>
      <c r="D52" s="485" t="s">
        <v>13</v>
      </c>
      <c r="E52" s="485"/>
      <c r="F52" s="498">
        <v>19434.206999999999</v>
      </c>
      <c r="G52" s="498">
        <v>18807.753000000001</v>
      </c>
      <c r="H52" s="489">
        <v>17549.903999999999</v>
      </c>
      <c r="I52" s="489">
        <v>18357.861354575001</v>
      </c>
      <c r="J52" s="516">
        <f>J49</f>
        <v>17858.439999999999</v>
      </c>
      <c r="K52" s="498">
        <f t="shared" ref="K52:AC52" si="74">K46</f>
        <v>17858.439999999999</v>
      </c>
      <c r="L52" s="498">
        <f t="shared" si="74"/>
        <v>17394.643889107938</v>
      </c>
      <c r="M52" s="498">
        <f t="shared" si="74"/>
        <v>17394.643889107938</v>
      </c>
      <c r="N52" s="498">
        <f t="shared" si="74"/>
        <v>17394.643889107938</v>
      </c>
      <c r="O52" s="498">
        <f t="shared" si="74"/>
        <v>17394.643889107938</v>
      </c>
      <c r="P52" s="498">
        <f t="shared" si="74"/>
        <v>17394.643889107938</v>
      </c>
      <c r="Q52" s="498">
        <f t="shared" si="74"/>
        <v>17394.643889107938</v>
      </c>
      <c r="R52" s="498">
        <f t="shared" si="74"/>
        <v>17394.643889107938</v>
      </c>
      <c r="S52" s="498">
        <f t="shared" si="74"/>
        <v>17394.643889107938</v>
      </c>
      <c r="T52" s="498">
        <f t="shared" si="74"/>
        <v>17394.643889107938</v>
      </c>
      <c r="U52" s="498">
        <f t="shared" si="74"/>
        <v>17394.643889107938</v>
      </c>
      <c r="V52" s="498">
        <f t="shared" si="74"/>
        <v>17394.643889107938</v>
      </c>
      <c r="W52" s="498">
        <f t="shared" si="74"/>
        <v>17394.643889107938</v>
      </c>
      <c r="X52" s="498">
        <f t="shared" si="74"/>
        <v>17394.643889107938</v>
      </c>
      <c r="Y52" s="498">
        <f t="shared" si="74"/>
        <v>17394.643889107938</v>
      </c>
      <c r="Z52" s="498">
        <f t="shared" si="74"/>
        <v>17394.643889107938</v>
      </c>
      <c r="AA52" s="498">
        <f t="shared" si="74"/>
        <v>17394.643889107938</v>
      </c>
      <c r="AB52" s="498">
        <f t="shared" si="74"/>
        <v>17394.643889107938</v>
      </c>
      <c r="AC52" s="498">
        <f t="shared" si="74"/>
        <v>17394.643889107938</v>
      </c>
    </row>
    <row r="53" spans="1:29" ht="63">
      <c r="A53" s="481" t="s">
        <v>95</v>
      </c>
      <c r="B53" s="484" t="s">
        <v>96</v>
      </c>
      <c r="C53" s="485" t="s">
        <v>84</v>
      </c>
      <c r="D53" s="485" t="s">
        <v>13</v>
      </c>
      <c r="E53" s="485" t="s">
        <v>75</v>
      </c>
      <c r="F53" s="518">
        <f t="shared" ref="F53:AC53" si="75">F54/F55</f>
        <v>1.2557824973254634</v>
      </c>
      <c r="G53" s="518">
        <f t="shared" si="75"/>
        <v>1.2553909018264968</v>
      </c>
      <c r="H53" s="528">
        <f t="shared" si="75"/>
        <v>1.2339929608731763</v>
      </c>
      <c r="I53" s="528">
        <f t="shared" si="75"/>
        <v>1.1402957346544698</v>
      </c>
      <c r="J53" s="519">
        <f t="shared" si="75"/>
        <v>1.193977693460347</v>
      </c>
      <c r="K53" s="518">
        <f t="shared" si="75"/>
        <v>1.193977693460347</v>
      </c>
      <c r="L53" s="518">
        <f t="shared" si="75"/>
        <v>1.1940000000000013</v>
      </c>
      <c r="M53" s="518">
        <f t="shared" si="75"/>
        <v>1.1940000000000013</v>
      </c>
      <c r="N53" s="518">
        <f t="shared" si="75"/>
        <v>1.1940000000000013</v>
      </c>
      <c r="O53" s="518">
        <f t="shared" si="75"/>
        <v>1.1940000000000013</v>
      </c>
      <c r="P53" s="518">
        <f t="shared" si="75"/>
        <v>1.1940000000000013</v>
      </c>
      <c r="Q53" s="518">
        <f t="shared" si="75"/>
        <v>1.1940000000000013</v>
      </c>
      <c r="R53" s="518">
        <f t="shared" si="75"/>
        <v>1.1940000000000013</v>
      </c>
      <c r="S53" s="518">
        <f t="shared" si="75"/>
        <v>1.1940000000000013</v>
      </c>
      <c r="T53" s="518">
        <f t="shared" si="75"/>
        <v>1.1940000000000013</v>
      </c>
      <c r="U53" s="518">
        <f t="shared" si="75"/>
        <v>1.1940000000000013</v>
      </c>
      <c r="V53" s="518">
        <f t="shared" si="75"/>
        <v>1.1940000000000013</v>
      </c>
      <c r="W53" s="518">
        <f t="shared" si="75"/>
        <v>1.1940000000000013</v>
      </c>
      <c r="X53" s="518">
        <f t="shared" si="75"/>
        <v>1.1940000000000013</v>
      </c>
      <c r="Y53" s="518">
        <f t="shared" si="75"/>
        <v>1.1940000000000013</v>
      </c>
      <c r="Z53" s="518">
        <f t="shared" si="75"/>
        <v>1.1940000000000013</v>
      </c>
      <c r="AA53" s="518">
        <f t="shared" si="75"/>
        <v>1.1940000000000013</v>
      </c>
      <c r="AB53" s="518">
        <f t="shared" si="75"/>
        <v>1.1940000000000013</v>
      </c>
      <c r="AC53" s="518">
        <f t="shared" si="75"/>
        <v>1.1940000000000013</v>
      </c>
    </row>
    <row r="54" spans="1:29" ht="31.5">
      <c r="A54" s="481" t="s">
        <v>97</v>
      </c>
      <c r="B54" s="487" t="s">
        <v>86</v>
      </c>
      <c r="C54" s="485" t="s">
        <v>87</v>
      </c>
      <c r="D54" s="485" t="s">
        <v>13</v>
      </c>
      <c r="E54" s="485"/>
      <c r="F54" s="498">
        <v>24405.136999999999</v>
      </c>
      <c r="G54" s="498">
        <f>G51+G48</f>
        <v>23611.082000000002</v>
      </c>
      <c r="H54" s="489">
        <v>21656.457999999999</v>
      </c>
      <c r="I54" s="489">
        <f>I48+I51</f>
        <v>20933.391</v>
      </c>
      <c r="J54" s="520">
        <f>J48+J51</f>
        <v>21322.578999999998</v>
      </c>
      <c r="K54" s="518">
        <f t="shared" ref="K54" si="76">K51+K48</f>
        <v>21322.578999999998</v>
      </c>
      <c r="L54" s="518">
        <v>20769.204803594901</v>
      </c>
      <c r="M54" s="518">
        <v>20769.204803594901</v>
      </c>
      <c r="N54" s="518">
        <v>20769.204803594901</v>
      </c>
      <c r="O54" s="518">
        <v>20769.204803594901</v>
      </c>
      <c r="P54" s="518">
        <v>20769.204803594901</v>
      </c>
      <c r="Q54" s="518">
        <v>20769.204803594901</v>
      </c>
      <c r="R54" s="518">
        <v>20769.204803594901</v>
      </c>
      <c r="S54" s="518">
        <v>20769.204803594901</v>
      </c>
      <c r="T54" s="518">
        <v>20769.204803594901</v>
      </c>
      <c r="U54" s="518">
        <v>20769.204803594901</v>
      </c>
      <c r="V54" s="518">
        <v>20769.204803594901</v>
      </c>
      <c r="W54" s="518">
        <v>20769.204803594901</v>
      </c>
      <c r="X54" s="518">
        <v>20769.204803594901</v>
      </c>
      <c r="Y54" s="518">
        <v>20769.204803594901</v>
      </c>
      <c r="Z54" s="518">
        <v>20769.204803594901</v>
      </c>
      <c r="AA54" s="518">
        <v>20769.204803594901</v>
      </c>
      <c r="AB54" s="518">
        <v>20769.204803594901</v>
      </c>
      <c r="AC54" s="518">
        <v>20769.204803594901</v>
      </c>
    </row>
    <row r="55" spans="1:29" ht="15.75">
      <c r="A55" s="481" t="s">
        <v>98</v>
      </c>
      <c r="B55" s="487" t="s">
        <v>99</v>
      </c>
      <c r="C55" s="485" t="s">
        <v>45</v>
      </c>
      <c r="D55" s="485" t="s">
        <v>13</v>
      </c>
      <c r="E55" s="485"/>
      <c r="F55" s="498">
        <v>19434.206999999999</v>
      </c>
      <c r="G55" s="498">
        <f>G46</f>
        <v>18807.753000000001</v>
      </c>
      <c r="H55" s="489">
        <v>17549.903999999999</v>
      </c>
      <c r="I55" s="489">
        <v>18357.861354575001</v>
      </c>
      <c r="J55" s="509">
        <f>J52</f>
        <v>17858.439999999999</v>
      </c>
      <c r="K55" s="498">
        <f t="shared" ref="K55:X55" si="77">K46</f>
        <v>17858.439999999999</v>
      </c>
      <c r="L55" s="498">
        <f t="shared" si="77"/>
        <v>17394.643889107938</v>
      </c>
      <c r="M55" s="498">
        <f t="shared" si="77"/>
        <v>17394.643889107938</v>
      </c>
      <c r="N55" s="498">
        <f t="shared" si="77"/>
        <v>17394.643889107938</v>
      </c>
      <c r="O55" s="498">
        <f t="shared" si="77"/>
        <v>17394.643889107938</v>
      </c>
      <c r="P55" s="498">
        <f t="shared" si="77"/>
        <v>17394.643889107938</v>
      </c>
      <c r="Q55" s="498">
        <f t="shared" si="77"/>
        <v>17394.643889107938</v>
      </c>
      <c r="R55" s="498">
        <f t="shared" si="77"/>
        <v>17394.643889107938</v>
      </c>
      <c r="S55" s="498">
        <f t="shared" si="77"/>
        <v>17394.643889107938</v>
      </c>
      <c r="T55" s="498">
        <f t="shared" si="77"/>
        <v>17394.643889107938</v>
      </c>
      <c r="U55" s="498">
        <f t="shared" si="77"/>
        <v>17394.643889107938</v>
      </c>
      <c r="V55" s="498">
        <f t="shared" si="77"/>
        <v>17394.643889107938</v>
      </c>
      <c r="W55" s="498">
        <f t="shared" si="77"/>
        <v>17394.643889107938</v>
      </c>
      <c r="X55" s="498">
        <f t="shared" si="77"/>
        <v>17394.643889107938</v>
      </c>
      <c r="Y55" s="498">
        <f t="shared" ref="Y55:AC55" si="78">X55</f>
        <v>17394.643889107938</v>
      </c>
      <c r="Z55" s="498">
        <f t="shared" si="78"/>
        <v>17394.643889107938</v>
      </c>
      <c r="AA55" s="498">
        <f t="shared" si="78"/>
        <v>17394.643889107938</v>
      </c>
      <c r="AB55" s="498">
        <f t="shared" si="78"/>
        <v>17394.643889107938</v>
      </c>
      <c r="AC55" s="498">
        <f t="shared" si="78"/>
        <v>17394.643889107938</v>
      </c>
    </row>
    <row r="56" spans="1:29" ht="47.25">
      <c r="A56" s="481" t="s">
        <v>100</v>
      </c>
      <c r="B56" s="484" t="s">
        <v>101</v>
      </c>
      <c r="C56" s="485" t="s">
        <v>84</v>
      </c>
      <c r="D56" s="485" t="s">
        <v>40</v>
      </c>
      <c r="E56" s="485" t="s">
        <v>75</v>
      </c>
      <c r="F56" s="518">
        <f t="shared" ref="F56:AC56" si="79">F57/F58</f>
        <v>0.45415939187861093</v>
      </c>
      <c r="G56" s="518">
        <f t="shared" si="79"/>
        <v>0.42158762350831069</v>
      </c>
      <c r="H56" s="528">
        <f t="shared" si="79"/>
        <v>0.39279629546334682</v>
      </c>
      <c r="I56" s="528">
        <f t="shared" si="79"/>
        <v>0.39430549468958759</v>
      </c>
      <c r="J56" s="519">
        <f t="shared" si="79"/>
        <v>0.39300002926715055</v>
      </c>
      <c r="K56" s="518">
        <f t="shared" si="79"/>
        <v>0.39300002926715055</v>
      </c>
      <c r="L56" s="518">
        <f t="shared" si="79"/>
        <v>0.39300002926715055</v>
      </c>
      <c r="M56" s="518">
        <f t="shared" si="79"/>
        <v>0.39300002926715055</v>
      </c>
      <c r="N56" s="518">
        <f t="shared" si="79"/>
        <v>0.39300002926715055</v>
      </c>
      <c r="O56" s="518">
        <f t="shared" si="79"/>
        <v>0.39300002926715055</v>
      </c>
      <c r="P56" s="518">
        <f t="shared" si="79"/>
        <v>0.39300002926715055</v>
      </c>
      <c r="Q56" s="518">
        <f t="shared" si="79"/>
        <v>0.39300002926715055</v>
      </c>
      <c r="R56" s="518">
        <f t="shared" si="79"/>
        <v>0.39300002926715055</v>
      </c>
      <c r="S56" s="518">
        <f t="shared" si="79"/>
        <v>0.39300002926715055</v>
      </c>
      <c r="T56" s="518">
        <f t="shared" si="79"/>
        <v>0.39300002926715055</v>
      </c>
      <c r="U56" s="518">
        <f t="shared" si="79"/>
        <v>0.39300002926715055</v>
      </c>
      <c r="V56" s="518">
        <f t="shared" si="79"/>
        <v>0.39300002926715055</v>
      </c>
      <c r="W56" s="518">
        <f t="shared" si="79"/>
        <v>0.39300002926715055</v>
      </c>
      <c r="X56" s="518">
        <f t="shared" si="79"/>
        <v>0.39300002926715055</v>
      </c>
      <c r="Y56" s="518">
        <f t="shared" si="79"/>
        <v>0.39300002926715055</v>
      </c>
      <c r="Z56" s="518">
        <f t="shared" si="79"/>
        <v>0.39300002926715055</v>
      </c>
      <c r="AA56" s="518">
        <f t="shared" si="79"/>
        <v>0.39300002926715055</v>
      </c>
      <c r="AB56" s="518">
        <f t="shared" si="79"/>
        <v>0.39300002926715055</v>
      </c>
      <c r="AC56" s="518">
        <f t="shared" si="79"/>
        <v>0.39300002926715055</v>
      </c>
    </row>
    <row r="57" spans="1:29" ht="31.5">
      <c r="A57" s="481" t="s">
        <v>102</v>
      </c>
      <c r="B57" s="487" t="s">
        <v>86</v>
      </c>
      <c r="C57" s="485" t="s">
        <v>87</v>
      </c>
      <c r="D57" s="485" t="s">
        <v>40</v>
      </c>
      <c r="E57" s="485"/>
      <c r="F57" s="498">
        <v>8031.52</v>
      </c>
      <c r="G57" s="498">
        <v>7154.9870000000001</v>
      </c>
      <c r="H57" s="489">
        <v>6802.8739999999998</v>
      </c>
      <c r="I57" s="489">
        <v>6496.2539999999999</v>
      </c>
      <c r="J57" s="520">
        <v>6445.4520000000002</v>
      </c>
      <c r="K57" s="518">
        <v>6445.4520000000002</v>
      </c>
      <c r="L57" s="518">
        <v>6445.4520000000002</v>
      </c>
      <c r="M57" s="518">
        <v>6445.4520000000002</v>
      </c>
      <c r="N57" s="518">
        <v>6445.4520000000002</v>
      </c>
      <c r="O57" s="518">
        <v>6445.4520000000002</v>
      </c>
      <c r="P57" s="518">
        <v>6445.4520000000002</v>
      </c>
      <c r="Q57" s="518">
        <v>6445.4520000000002</v>
      </c>
      <c r="R57" s="518">
        <v>6445.4520000000002</v>
      </c>
      <c r="S57" s="518">
        <v>6445.4520000000002</v>
      </c>
      <c r="T57" s="518">
        <v>6445.4520000000002</v>
      </c>
      <c r="U57" s="518">
        <v>6445.4520000000002</v>
      </c>
      <c r="V57" s="518">
        <v>6445.4520000000002</v>
      </c>
      <c r="W57" s="518">
        <v>6445.4520000000002</v>
      </c>
      <c r="X57" s="518">
        <v>6445.4520000000002</v>
      </c>
      <c r="Y57" s="518">
        <v>6445.4520000000002</v>
      </c>
      <c r="Z57" s="518">
        <v>6445.4520000000002</v>
      </c>
      <c r="AA57" s="518">
        <v>6445.4520000000002</v>
      </c>
      <c r="AB57" s="518">
        <v>6445.4520000000002</v>
      </c>
      <c r="AC57" s="518">
        <v>6445.4520000000002</v>
      </c>
    </row>
    <row r="58" spans="1:29" ht="15.75">
      <c r="A58" s="481" t="s">
        <v>103</v>
      </c>
      <c r="B58" s="487" t="s">
        <v>104</v>
      </c>
      <c r="C58" s="485" t="s">
        <v>45</v>
      </c>
      <c r="D58" s="485" t="s">
        <v>40</v>
      </c>
      <c r="E58" s="485"/>
      <c r="F58" s="498">
        <v>17684.364000000001</v>
      </c>
      <c r="G58" s="498">
        <v>16971.53</v>
      </c>
      <c r="H58" s="489">
        <v>17319.089</v>
      </c>
      <c r="I58" s="489">
        <v>16475.18</v>
      </c>
      <c r="J58" s="509">
        <f>J28</f>
        <v>16400.64</v>
      </c>
      <c r="K58" s="498">
        <v>16400.64</v>
      </c>
      <c r="L58" s="498">
        <v>16400.64</v>
      </c>
      <c r="M58" s="498">
        <v>16400.64</v>
      </c>
      <c r="N58" s="498">
        <v>16400.64</v>
      </c>
      <c r="O58" s="498">
        <v>16400.64</v>
      </c>
      <c r="P58" s="498">
        <v>16400.64</v>
      </c>
      <c r="Q58" s="498">
        <v>16400.64</v>
      </c>
      <c r="R58" s="498">
        <v>16400.64</v>
      </c>
      <c r="S58" s="498">
        <v>16400.64</v>
      </c>
      <c r="T58" s="498">
        <v>16400.64</v>
      </c>
      <c r="U58" s="498">
        <v>16400.64</v>
      </c>
      <c r="V58" s="498">
        <v>16400.64</v>
      </c>
      <c r="W58" s="498">
        <v>16400.64</v>
      </c>
      <c r="X58" s="498">
        <v>16400.64</v>
      </c>
      <c r="Y58" s="498">
        <v>16400.64</v>
      </c>
      <c r="Z58" s="498">
        <v>16400.64</v>
      </c>
      <c r="AA58" s="498">
        <v>16400.64</v>
      </c>
      <c r="AB58" s="498">
        <v>16400.64</v>
      </c>
      <c r="AC58" s="498">
        <v>16400.64</v>
      </c>
    </row>
    <row r="59" spans="1:29" ht="47.25">
      <c r="A59" s="481" t="s">
        <v>105</v>
      </c>
      <c r="B59" s="484" t="s">
        <v>106</v>
      </c>
      <c r="C59" s="485" t="s">
        <v>84</v>
      </c>
      <c r="D59" s="485" t="s">
        <v>40</v>
      </c>
      <c r="E59" s="485" t="s">
        <v>75</v>
      </c>
      <c r="F59" s="518">
        <f t="shared" ref="F59:AC59" si="80">F60/F61</f>
        <v>6.6383953644021346E-2</v>
      </c>
      <c r="G59" s="518">
        <f t="shared" si="80"/>
        <v>5.6054580818582653E-2</v>
      </c>
      <c r="H59" s="528">
        <f t="shared" si="80"/>
        <v>5.0870920520126664E-2</v>
      </c>
      <c r="I59" s="528">
        <f t="shared" si="80"/>
        <v>4.9688743916606673E-2</v>
      </c>
      <c r="J59" s="519">
        <f t="shared" si="80"/>
        <v>6.0999997561070787E-2</v>
      </c>
      <c r="K59" s="518">
        <f t="shared" si="80"/>
        <v>6.0999997561070787E-2</v>
      </c>
      <c r="L59" s="518">
        <f t="shared" si="80"/>
        <v>6.0999997561070787E-2</v>
      </c>
      <c r="M59" s="518">
        <f t="shared" si="80"/>
        <v>6.0999997561070787E-2</v>
      </c>
      <c r="N59" s="518">
        <f t="shared" si="80"/>
        <v>6.0999997561070787E-2</v>
      </c>
      <c r="O59" s="518">
        <f t="shared" si="80"/>
        <v>6.0999997561070787E-2</v>
      </c>
      <c r="P59" s="518">
        <f t="shared" si="80"/>
        <v>6.0999997561070787E-2</v>
      </c>
      <c r="Q59" s="518">
        <f t="shared" si="80"/>
        <v>6.0999997561070787E-2</v>
      </c>
      <c r="R59" s="518">
        <f t="shared" si="80"/>
        <v>6.0999997561070787E-2</v>
      </c>
      <c r="S59" s="518">
        <f t="shared" si="80"/>
        <v>6.0999997561070787E-2</v>
      </c>
      <c r="T59" s="518">
        <f t="shared" si="80"/>
        <v>6.0999997561070787E-2</v>
      </c>
      <c r="U59" s="518">
        <f t="shared" si="80"/>
        <v>6.0999997561070787E-2</v>
      </c>
      <c r="V59" s="518">
        <f t="shared" si="80"/>
        <v>6.0999997561070787E-2</v>
      </c>
      <c r="W59" s="518">
        <f t="shared" si="80"/>
        <v>6.0999997561070787E-2</v>
      </c>
      <c r="X59" s="518">
        <f t="shared" si="80"/>
        <v>6.0999997561070787E-2</v>
      </c>
      <c r="Y59" s="518">
        <f t="shared" si="80"/>
        <v>6.0999997561070787E-2</v>
      </c>
      <c r="Z59" s="518">
        <f t="shared" si="80"/>
        <v>6.0999997561070787E-2</v>
      </c>
      <c r="AA59" s="518">
        <f t="shared" si="80"/>
        <v>6.0999997561070787E-2</v>
      </c>
      <c r="AB59" s="518">
        <f t="shared" si="80"/>
        <v>6.0999997561070787E-2</v>
      </c>
      <c r="AC59" s="518">
        <f t="shared" si="80"/>
        <v>6.0999997561070787E-2</v>
      </c>
    </row>
    <row r="60" spans="1:29" ht="31.5">
      <c r="A60" s="481" t="s">
        <v>107</v>
      </c>
      <c r="B60" s="487" t="s">
        <v>86</v>
      </c>
      <c r="C60" s="485" t="s">
        <v>87</v>
      </c>
      <c r="D60" s="485" t="s">
        <v>40</v>
      </c>
      <c r="E60" s="485"/>
      <c r="F60" s="498">
        <v>1173.9580000000001</v>
      </c>
      <c r="G60" s="498">
        <v>951.33199999999999</v>
      </c>
      <c r="H60" s="489">
        <v>881.03800000000001</v>
      </c>
      <c r="I60" s="489">
        <v>818.63099999999997</v>
      </c>
      <c r="J60" s="520">
        <v>1000.439</v>
      </c>
      <c r="K60" s="518">
        <v>1000.439</v>
      </c>
      <c r="L60" s="518">
        <v>1000.439</v>
      </c>
      <c r="M60" s="518">
        <v>1000.439</v>
      </c>
      <c r="N60" s="518">
        <v>1000.439</v>
      </c>
      <c r="O60" s="518">
        <v>1000.439</v>
      </c>
      <c r="P60" s="518">
        <v>1000.439</v>
      </c>
      <c r="Q60" s="518">
        <v>1000.439</v>
      </c>
      <c r="R60" s="518">
        <v>1000.439</v>
      </c>
      <c r="S60" s="518">
        <v>1000.439</v>
      </c>
      <c r="T60" s="518">
        <v>1000.439</v>
      </c>
      <c r="U60" s="518">
        <v>1000.439</v>
      </c>
      <c r="V60" s="518">
        <v>1000.439</v>
      </c>
      <c r="W60" s="518">
        <v>1000.439</v>
      </c>
      <c r="X60" s="518">
        <v>1000.439</v>
      </c>
      <c r="Y60" s="518">
        <v>1000.439</v>
      </c>
      <c r="Z60" s="518">
        <v>1000.439</v>
      </c>
      <c r="AA60" s="518">
        <v>1000.439</v>
      </c>
      <c r="AB60" s="518">
        <v>1000.439</v>
      </c>
      <c r="AC60" s="518">
        <v>1000.439</v>
      </c>
    </row>
    <row r="61" spans="1:29" ht="15.75">
      <c r="A61" s="481" t="s">
        <v>108</v>
      </c>
      <c r="B61" s="487" t="s">
        <v>109</v>
      </c>
      <c r="C61" s="485" t="s">
        <v>45</v>
      </c>
      <c r="D61" s="485" t="s">
        <v>40</v>
      </c>
      <c r="E61" s="485"/>
      <c r="F61" s="498">
        <v>17684.364000000001</v>
      </c>
      <c r="G61" s="498">
        <v>16971.53</v>
      </c>
      <c r="H61" s="489">
        <v>17319.089</v>
      </c>
      <c r="I61" s="489">
        <v>16475.18</v>
      </c>
      <c r="J61" s="509">
        <f>J58</f>
        <v>16400.64</v>
      </c>
      <c r="K61" s="498">
        <f t="shared" ref="K61:AC61" si="81">K58</f>
        <v>16400.64</v>
      </c>
      <c r="L61" s="498">
        <f t="shared" si="81"/>
        <v>16400.64</v>
      </c>
      <c r="M61" s="498">
        <f t="shared" si="81"/>
        <v>16400.64</v>
      </c>
      <c r="N61" s="498">
        <f t="shared" si="81"/>
        <v>16400.64</v>
      </c>
      <c r="O61" s="498">
        <f t="shared" si="81"/>
        <v>16400.64</v>
      </c>
      <c r="P61" s="498">
        <f t="shared" si="81"/>
        <v>16400.64</v>
      </c>
      <c r="Q61" s="498">
        <f t="shared" si="81"/>
        <v>16400.64</v>
      </c>
      <c r="R61" s="498">
        <f t="shared" si="81"/>
        <v>16400.64</v>
      </c>
      <c r="S61" s="498">
        <f t="shared" si="81"/>
        <v>16400.64</v>
      </c>
      <c r="T61" s="498">
        <f t="shared" si="81"/>
        <v>16400.64</v>
      </c>
      <c r="U61" s="498">
        <f t="shared" si="81"/>
        <v>16400.64</v>
      </c>
      <c r="V61" s="498">
        <f t="shared" si="81"/>
        <v>16400.64</v>
      </c>
      <c r="W61" s="498">
        <f t="shared" si="81"/>
        <v>16400.64</v>
      </c>
      <c r="X61" s="498">
        <f t="shared" si="81"/>
        <v>16400.64</v>
      </c>
      <c r="Y61" s="498">
        <f t="shared" si="81"/>
        <v>16400.64</v>
      </c>
      <c r="Z61" s="498">
        <f t="shared" si="81"/>
        <v>16400.64</v>
      </c>
      <c r="AA61" s="498">
        <f t="shared" si="81"/>
        <v>16400.64</v>
      </c>
      <c r="AB61" s="498">
        <f t="shared" si="81"/>
        <v>16400.64</v>
      </c>
      <c r="AC61" s="498">
        <f t="shared" si="81"/>
        <v>16400.64</v>
      </c>
    </row>
    <row r="66" spans="1:25" s="286" customFormat="1" ht="29.25" customHeight="1">
      <c r="A66" s="289"/>
      <c r="B66" s="471"/>
      <c r="C66" s="543"/>
      <c r="D66" s="290"/>
      <c r="E66" s="291"/>
      <c r="G66" s="471"/>
      <c r="H66" s="471"/>
      <c r="I66" s="541"/>
      <c r="J66" s="289"/>
      <c r="K66" s="289"/>
      <c r="L66" s="289"/>
      <c r="N66" s="289"/>
      <c r="O66" s="289"/>
      <c r="P66" s="289"/>
      <c r="Q66" s="540"/>
      <c r="U66" s="293"/>
      <c r="W66" s="534"/>
      <c r="X66" s="534"/>
      <c r="Y66" s="538"/>
    </row>
    <row r="67" spans="1:25" s="286" customFormat="1" ht="24" customHeight="1">
      <c r="A67" s="289"/>
      <c r="B67" s="557"/>
      <c r="C67" s="543"/>
      <c r="D67" s="290"/>
      <c r="E67" s="291"/>
      <c r="G67" s="530"/>
      <c r="H67" s="529"/>
      <c r="I67" s="541"/>
      <c r="J67" s="289"/>
      <c r="K67" s="289"/>
      <c r="L67" s="289"/>
      <c r="N67" s="289"/>
      <c r="O67" s="289"/>
      <c r="P67" s="289"/>
      <c r="Q67" s="535"/>
      <c r="W67" s="471"/>
      <c r="Y67" s="539"/>
    </row>
    <row r="68" spans="1:25" s="286" customFormat="1" ht="18.75">
      <c r="A68" s="289"/>
      <c r="C68" s="544"/>
      <c r="D68" s="290"/>
      <c r="E68" s="291"/>
      <c r="G68" s="530"/>
      <c r="H68" s="529"/>
      <c r="I68" s="542"/>
      <c r="J68" s="289"/>
      <c r="K68" s="289"/>
      <c r="L68" s="289"/>
      <c r="N68" s="289"/>
      <c r="O68" s="289"/>
      <c r="P68" s="289"/>
      <c r="Q68" s="535"/>
      <c r="W68" s="472"/>
      <c r="Y68" s="539"/>
    </row>
    <row r="69" spans="1:25" s="286" customFormat="1" ht="36" customHeight="1">
      <c r="A69" s="289"/>
      <c r="B69" s="556"/>
      <c r="C69" s="545"/>
      <c r="D69" s="289"/>
      <c r="E69" s="291"/>
      <c r="G69" s="530"/>
      <c r="H69" s="529"/>
      <c r="I69" s="541"/>
      <c r="J69" s="289"/>
      <c r="K69" s="289"/>
      <c r="L69" s="289"/>
      <c r="N69" s="289"/>
      <c r="O69" s="289"/>
      <c r="P69" s="289"/>
      <c r="Q69" s="536"/>
      <c r="U69" s="294"/>
      <c r="W69" s="534"/>
      <c r="X69" s="534"/>
      <c r="Y69" s="538"/>
    </row>
  </sheetData>
  <mergeCells count="12">
    <mergeCell ref="W2:AC2"/>
    <mergeCell ref="U1:AC1"/>
    <mergeCell ref="U3:AC3"/>
    <mergeCell ref="A4:AC4"/>
    <mergeCell ref="A42:B42"/>
    <mergeCell ref="A5:AC7"/>
    <mergeCell ref="D8:D11"/>
    <mergeCell ref="E8:E11"/>
    <mergeCell ref="F8:AC9"/>
    <mergeCell ref="A8:A11"/>
    <mergeCell ref="B8:B11"/>
    <mergeCell ref="C8:C11"/>
  </mergeCells>
  <pageMargins left="0.59055118110236227" right="0.59055118110236227" top="0.59055118110236227" bottom="0.59055118110236227" header="0.51181102362204722" footer="0.51181102362204722"/>
  <pageSetup paperSize="9" scale="33" firstPageNumber="0" fitToHeight="0" orientation="landscape" useFirstPageNumber="1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view="pageBreakPreview" topLeftCell="A16" zoomScaleNormal="85" zoomScaleSheetLayoutView="100" workbookViewId="0">
      <selection activeCell="B24" sqref="B24"/>
    </sheetView>
  </sheetViews>
  <sheetFormatPr defaultColWidth="9" defaultRowHeight="15"/>
  <cols>
    <col min="1" max="1" width="6.85546875" style="36" customWidth="1"/>
    <col min="2" max="2" width="48.5703125" style="37" customWidth="1"/>
    <col min="3" max="3" width="18.5703125" style="38" customWidth="1"/>
    <col min="4" max="4" width="18.5703125" style="39" customWidth="1"/>
    <col min="5" max="5" width="14.5703125" style="37" customWidth="1"/>
    <col min="6" max="15" width="13.42578125" style="37" customWidth="1"/>
    <col min="16" max="23" width="14.140625" style="37" customWidth="1"/>
    <col min="24" max="28" width="14.140625" style="34" customWidth="1"/>
    <col min="29" max="29" width="15.5703125" style="40" customWidth="1"/>
    <col min="30" max="30" width="14.7109375" style="34" customWidth="1"/>
    <col min="31" max="31" width="12.5703125" style="34" customWidth="1"/>
    <col min="32" max="32" width="11.42578125" style="34"/>
    <col min="33" max="1025" width="9.140625" style="34" customWidth="1"/>
  </cols>
  <sheetData>
    <row r="1" spans="1:31" ht="31.5" customHeight="1">
      <c r="Q1" s="608" t="s">
        <v>454</v>
      </c>
      <c r="R1" s="608"/>
      <c r="S1" s="608"/>
      <c r="T1" s="608"/>
      <c r="U1" s="608"/>
      <c r="V1" s="608"/>
    </row>
    <row r="2" spans="1:31" ht="27" customHeight="1">
      <c r="A2" s="624" t="s">
        <v>685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</row>
    <row r="3" spans="1:31" s="34" customFormat="1" ht="15.75">
      <c r="A3" s="41"/>
      <c r="B3" s="42" t="s">
        <v>686</v>
      </c>
      <c r="C3" s="43"/>
      <c r="D3" s="44"/>
      <c r="E3" s="45"/>
      <c r="F3" s="45"/>
      <c r="G3" s="45"/>
      <c r="H3" s="45"/>
      <c r="I3" s="45"/>
      <c r="J3" s="45"/>
      <c r="K3" s="83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AC3" s="40"/>
    </row>
    <row r="4" spans="1:31" ht="15" customHeight="1">
      <c r="A4" s="611" t="s">
        <v>1</v>
      </c>
      <c r="B4" s="611" t="s">
        <v>457</v>
      </c>
      <c r="C4" s="625" t="s">
        <v>687</v>
      </c>
      <c r="D4" s="612" t="s">
        <v>688</v>
      </c>
      <c r="E4" s="610" t="s">
        <v>6</v>
      </c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86"/>
    </row>
    <row r="5" spans="1:31">
      <c r="A5" s="611"/>
      <c r="B5" s="611"/>
      <c r="C5" s="625"/>
      <c r="D5" s="612"/>
      <c r="E5" s="48" t="s">
        <v>647</v>
      </c>
      <c r="F5" s="48" t="s">
        <v>648</v>
      </c>
      <c r="G5" s="48" t="s">
        <v>649</v>
      </c>
      <c r="H5" s="49" t="s">
        <v>650</v>
      </c>
      <c r="I5" s="48">
        <v>2021</v>
      </c>
      <c r="J5" s="48">
        <v>2022</v>
      </c>
      <c r="K5" s="48">
        <v>2023</v>
      </c>
      <c r="L5" s="48">
        <v>2024</v>
      </c>
      <c r="M5" s="48">
        <v>2025</v>
      </c>
      <c r="N5" s="48">
        <v>2026</v>
      </c>
      <c r="O5" s="48">
        <v>2027</v>
      </c>
      <c r="P5" s="48">
        <v>2028</v>
      </c>
      <c r="Q5" s="48">
        <v>2029</v>
      </c>
      <c r="R5" s="48">
        <v>2030</v>
      </c>
      <c r="S5" s="48">
        <v>2031</v>
      </c>
      <c r="T5" s="48">
        <v>2032</v>
      </c>
      <c r="U5" s="48">
        <v>2033</v>
      </c>
      <c r="V5" s="48">
        <v>2034</v>
      </c>
      <c r="W5" s="48">
        <v>2035</v>
      </c>
      <c r="X5" s="48">
        <v>2036</v>
      </c>
      <c r="Y5" s="87">
        <v>2037</v>
      </c>
      <c r="Z5" s="87">
        <v>2038</v>
      </c>
      <c r="AA5" s="87">
        <v>2039</v>
      </c>
      <c r="AB5" s="87">
        <v>2040</v>
      </c>
      <c r="AC5" s="86"/>
    </row>
    <row r="6" spans="1:31">
      <c r="A6" s="50" t="s">
        <v>111</v>
      </c>
      <c r="B6" s="50" t="s">
        <v>117</v>
      </c>
      <c r="C6" s="51"/>
      <c r="D6" s="52" t="s">
        <v>125</v>
      </c>
      <c r="E6" s="50" t="s">
        <v>136</v>
      </c>
      <c r="F6" s="50" t="s">
        <v>348</v>
      </c>
      <c r="G6" s="50" t="s">
        <v>153</v>
      </c>
      <c r="H6" s="50" t="s">
        <v>161</v>
      </c>
      <c r="I6" s="50" t="s">
        <v>164</v>
      </c>
      <c r="J6" s="50" t="s">
        <v>170</v>
      </c>
      <c r="K6" s="50" t="s">
        <v>175</v>
      </c>
      <c r="L6" s="50" t="s">
        <v>206</v>
      </c>
      <c r="M6" s="50" t="s">
        <v>208</v>
      </c>
      <c r="N6" s="50" t="s">
        <v>211</v>
      </c>
      <c r="O6" s="50" t="s">
        <v>223</v>
      </c>
      <c r="P6" s="50" t="s">
        <v>234</v>
      </c>
      <c r="Q6" s="50" t="s">
        <v>245</v>
      </c>
      <c r="R6" s="50" t="s">
        <v>263</v>
      </c>
      <c r="S6" s="50" t="s">
        <v>461</v>
      </c>
      <c r="T6" s="50" t="s">
        <v>462</v>
      </c>
      <c r="U6" s="50" t="s">
        <v>463</v>
      </c>
      <c r="V6" s="50" t="s">
        <v>464</v>
      </c>
      <c r="W6" s="50" t="s">
        <v>465</v>
      </c>
      <c r="X6" s="50" t="s">
        <v>466</v>
      </c>
      <c r="Y6" s="50" t="s">
        <v>467</v>
      </c>
      <c r="Z6" s="50" t="s">
        <v>468</v>
      </c>
      <c r="AA6" s="50" t="s">
        <v>469</v>
      </c>
      <c r="AB6" s="50" t="s">
        <v>470</v>
      </c>
      <c r="AC6" s="88"/>
    </row>
    <row r="7" spans="1:31">
      <c r="A7" s="50"/>
      <c r="B7" s="53" t="s">
        <v>314</v>
      </c>
      <c r="C7" s="51"/>
      <c r="D7" s="52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88"/>
    </row>
    <row r="8" spans="1:31" ht="28.5">
      <c r="A8" s="46">
        <v>1</v>
      </c>
      <c r="B8" s="54" t="s">
        <v>473</v>
      </c>
      <c r="C8" s="55">
        <f t="shared" ref="C8:AB8" si="0">C9+C10+C11</f>
        <v>785267.9448927081</v>
      </c>
      <c r="D8" s="56">
        <f t="shared" si="0"/>
        <v>791182.07571523823</v>
      </c>
      <c r="E8" s="57">
        <f t="shared" si="0"/>
        <v>110247.31695320262</v>
      </c>
      <c r="F8" s="57">
        <f t="shared" si="0"/>
        <v>15549.991640846358</v>
      </c>
      <c r="G8" s="57">
        <f t="shared" si="0"/>
        <v>21350.433671370069</v>
      </c>
      <c r="H8" s="57">
        <f t="shared" si="0"/>
        <v>24207.303458333328</v>
      </c>
      <c r="I8" s="57">
        <f t="shared" si="0"/>
        <v>18161.161818375862</v>
      </c>
      <c r="J8" s="57">
        <f t="shared" si="0"/>
        <v>32961.702820665938</v>
      </c>
      <c r="K8" s="57">
        <f t="shared" si="0"/>
        <v>36430.642120278615</v>
      </c>
      <c r="L8" s="57">
        <f t="shared" si="0"/>
        <v>43421.450796684629</v>
      </c>
      <c r="M8" s="57">
        <f t="shared" si="0"/>
        <v>12498.622688053449</v>
      </c>
      <c r="N8" s="57">
        <f t="shared" si="0"/>
        <v>10376.7777602968</v>
      </c>
      <c r="O8" s="57">
        <f t="shared" si="0"/>
        <v>19626.961246320341</v>
      </c>
      <c r="P8" s="57">
        <f t="shared" si="0"/>
        <v>32391.978951870307</v>
      </c>
      <c r="Q8" s="57">
        <f t="shared" si="0"/>
        <v>47159.076974062686</v>
      </c>
      <c r="R8" s="57">
        <f t="shared" si="0"/>
        <v>45387.274371050502</v>
      </c>
      <c r="S8" s="57">
        <f t="shared" si="0"/>
        <v>40889.979032005896</v>
      </c>
      <c r="T8" s="57">
        <f t="shared" si="0"/>
        <v>38716.483434800903</v>
      </c>
      <c r="U8" s="57">
        <f t="shared" si="0"/>
        <v>36520.131244359109</v>
      </c>
      <c r="V8" s="57">
        <f t="shared" si="0"/>
        <v>34244.986976741828</v>
      </c>
      <c r="W8" s="57">
        <f t="shared" si="0"/>
        <v>27839.055029359799</v>
      </c>
      <c r="X8" s="57">
        <f t="shared" si="0"/>
        <v>31844.524609119901</v>
      </c>
      <c r="Y8" s="57">
        <f t="shared" si="0"/>
        <v>27839.055029359799</v>
      </c>
      <c r="Z8" s="57">
        <f t="shared" si="0"/>
        <v>27839.055029359799</v>
      </c>
      <c r="AA8" s="57">
        <f t="shared" si="0"/>
        <v>27839.055029359799</v>
      </c>
      <c r="AB8" s="57">
        <f t="shared" si="0"/>
        <v>27839.055029359799</v>
      </c>
      <c r="AC8" s="89"/>
      <c r="AD8" s="35"/>
    </row>
    <row r="9" spans="1:31">
      <c r="A9" s="58" t="s">
        <v>14</v>
      </c>
      <c r="B9" s="59" t="s">
        <v>474</v>
      </c>
      <c r="C9" s="60">
        <f t="shared" ref="C9:AB9" si="1">C15+C18+C14</f>
        <v>606840.39844542206</v>
      </c>
      <c r="D9" s="61">
        <f t="shared" si="1"/>
        <v>718196.61523286137</v>
      </c>
      <c r="E9" s="62">
        <f t="shared" si="1"/>
        <v>109362.06112000001</v>
      </c>
      <c r="F9" s="62">
        <f t="shared" si="1"/>
        <v>8907.7801399999989</v>
      </c>
      <c r="G9" s="62">
        <f t="shared" si="1"/>
        <v>14679.22</v>
      </c>
      <c r="H9" s="62">
        <f t="shared" si="1"/>
        <v>18383.39</v>
      </c>
      <c r="I9" s="62">
        <f t="shared" si="1"/>
        <v>9957.5293408853995</v>
      </c>
      <c r="J9" s="62">
        <f t="shared" si="1"/>
        <v>25851.008005500917</v>
      </c>
      <c r="K9" s="62">
        <f t="shared" si="1"/>
        <v>28300.505318376006</v>
      </c>
      <c r="L9" s="62">
        <f t="shared" si="1"/>
        <v>33789.356416490482</v>
      </c>
      <c r="M9" s="62">
        <f t="shared" si="1"/>
        <v>4473.871452413</v>
      </c>
      <c r="N9" s="62">
        <f t="shared" si="1"/>
        <v>4380.4805597045997</v>
      </c>
      <c r="O9" s="62">
        <f t="shared" si="1"/>
        <v>16162.422318429601</v>
      </c>
      <c r="P9" s="62">
        <f t="shared" si="1"/>
        <v>30231.330790096297</v>
      </c>
      <c r="Q9" s="62">
        <f t="shared" si="1"/>
        <v>46919.004956087796</v>
      </c>
      <c r="R9" s="62">
        <f t="shared" si="1"/>
        <v>45387.274371050502</v>
      </c>
      <c r="S9" s="62">
        <f t="shared" si="1"/>
        <v>40889.979032005896</v>
      </c>
      <c r="T9" s="62">
        <f t="shared" si="1"/>
        <v>38716.483434800903</v>
      </c>
      <c r="U9" s="62">
        <f t="shared" si="1"/>
        <v>36520.131244359109</v>
      </c>
      <c r="V9" s="62">
        <f t="shared" si="1"/>
        <v>34244.986976741828</v>
      </c>
      <c r="W9" s="62">
        <f t="shared" si="1"/>
        <v>27839.055029359799</v>
      </c>
      <c r="X9" s="62">
        <f t="shared" si="1"/>
        <v>31844.524609119901</v>
      </c>
      <c r="Y9" s="62">
        <f t="shared" si="1"/>
        <v>27839.055029359799</v>
      </c>
      <c r="Z9" s="62">
        <f t="shared" si="1"/>
        <v>27839.055029359799</v>
      </c>
      <c r="AA9" s="62">
        <f t="shared" si="1"/>
        <v>27839.055029359799</v>
      </c>
      <c r="AB9" s="62">
        <f t="shared" si="1"/>
        <v>27839.055029359799</v>
      </c>
      <c r="AC9" s="90"/>
      <c r="AD9" s="35"/>
    </row>
    <row r="10" spans="1:31">
      <c r="A10" s="58" t="s">
        <v>22</v>
      </c>
      <c r="B10" s="59" t="s">
        <v>475</v>
      </c>
      <c r="C10" s="63">
        <f t="shared" ref="C10:AB10" si="2">C16</f>
        <v>178427.546447286</v>
      </c>
      <c r="D10" s="61">
        <f t="shared" si="2"/>
        <v>72985.460482376904</v>
      </c>
      <c r="E10" s="62">
        <f t="shared" si="2"/>
        <v>885.25583320261103</v>
      </c>
      <c r="F10" s="62">
        <f t="shared" si="2"/>
        <v>6642.2115008463597</v>
      </c>
      <c r="G10" s="62">
        <f t="shared" si="2"/>
        <v>6671.2136713700702</v>
      </c>
      <c r="H10" s="62">
        <f t="shared" si="2"/>
        <v>5823.9134583333298</v>
      </c>
      <c r="I10" s="62">
        <f t="shared" si="2"/>
        <v>8203.6324774904606</v>
      </c>
      <c r="J10" s="62">
        <f t="shared" si="2"/>
        <v>7110.6948151650204</v>
      </c>
      <c r="K10" s="62">
        <f t="shared" si="2"/>
        <v>8130.1368019026104</v>
      </c>
      <c r="L10" s="62">
        <f t="shared" si="2"/>
        <v>9632.0943801941503</v>
      </c>
      <c r="M10" s="62">
        <f t="shared" si="2"/>
        <v>8024.7512356404495</v>
      </c>
      <c r="N10" s="62">
        <f t="shared" si="2"/>
        <v>5996.2972005922002</v>
      </c>
      <c r="O10" s="62">
        <f t="shared" si="2"/>
        <v>3464.5389278907401</v>
      </c>
      <c r="P10" s="62">
        <f t="shared" si="2"/>
        <v>2160.6481617740101</v>
      </c>
      <c r="Q10" s="62">
        <f t="shared" si="2"/>
        <v>240.07201797489</v>
      </c>
      <c r="R10" s="62">
        <f t="shared" si="2"/>
        <v>0</v>
      </c>
      <c r="S10" s="62">
        <f t="shared" si="2"/>
        <v>0</v>
      </c>
      <c r="T10" s="62">
        <f t="shared" si="2"/>
        <v>0</v>
      </c>
      <c r="U10" s="62">
        <f t="shared" si="2"/>
        <v>0</v>
      </c>
      <c r="V10" s="62">
        <f t="shared" si="2"/>
        <v>0</v>
      </c>
      <c r="W10" s="62">
        <f t="shared" si="2"/>
        <v>0</v>
      </c>
      <c r="X10" s="62">
        <f t="shared" si="2"/>
        <v>0</v>
      </c>
      <c r="Y10" s="62">
        <f t="shared" si="2"/>
        <v>0</v>
      </c>
      <c r="Z10" s="62">
        <f t="shared" si="2"/>
        <v>0</v>
      </c>
      <c r="AA10" s="62">
        <f t="shared" si="2"/>
        <v>0</v>
      </c>
      <c r="AB10" s="62">
        <f t="shared" si="2"/>
        <v>0</v>
      </c>
      <c r="AC10" s="90"/>
      <c r="AD10" s="35"/>
    </row>
    <row r="11" spans="1:31">
      <c r="A11" s="58" t="s">
        <v>315</v>
      </c>
      <c r="B11" s="59" t="s">
        <v>476</v>
      </c>
      <c r="C11" s="63"/>
      <c r="D11" s="61">
        <f t="shared" ref="D11:D18" si="3">SUM(E11:AB11)</f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90"/>
      <c r="AD11" s="35"/>
    </row>
    <row r="12" spans="1:31" ht="42.75">
      <c r="A12" s="46">
        <v>2</v>
      </c>
      <c r="B12" s="54" t="s">
        <v>477</v>
      </c>
      <c r="C12" s="55">
        <f t="shared" ref="C12:AB12" si="4">C13+C18</f>
        <v>938641.27489270794</v>
      </c>
      <c r="D12" s="64">
        <f t="shared" si="4"/>
        <v>966713.36985778564</v>
      </c>
      <c r="E12" s="57">
        <f t="shared" si="4"/>
        <v>116535.10644835133</v>
      </c>
      <c r="F12" s="57">
        <f t="shared" si="4"/>
        <v>32966.977707714002</v>
      </c>
      <c r="G12" s="57">
        <f t="shared" si="4"/>
        <v>26401.624195348501</v>
      </c>
      <c r="H12" s="57">
        <f t="shared" si="4"/>
        <v>31338.369703948927</v>
      </c>
      <c r="I12" s="57">
        <f t="shared" si="4"/>
        <v>25891.700831769402</v>
      </c>
      <c r="J12" s="57">
        <f t="shared" si="4"/>
        <v>42745.341363859232</v>
      </c>
      <c r="K12" s="57">
        <f t="shared" si="4"/>
        <v>49764.906017274021</v>
      </c>
      <c r="L12" s="57">
        <f t="shared" si="4"/>
        <v>62173.654215473536</v>
      </c>
      <c r="M12" s="57">
        <f t="shared" si="4"/>
        <v>33027.759117323549</v>
      </c>
      <c r="N12" s="57">
        <f t="shared" si="4"/>
        <v>32226.341477452501</v>
      </c>
      <c r="O12" s="57">
        <f t="shared" si="4"/>
        <v>40042.137964686917</v>
      </c>
      <c r="P12" s="57">
        <f t="shared" si="4"/>
        <v>57114.645152223908</v>
      </c>
      <c r="Q12" s="57">
        <f t="shared" si="4"/>
        <v>49686.150847482575</v>
      </c>
      <c r="R12" s="57">
        <f t="shared" si="4"/>
        <v>45387.274371050502</v>
      </c>
      <c r="S12" s="57">
        <f t="shared" si="4"/>
        <v>40889.979032005896</v>
      </c>
      <c r="T12" s="57">
        <f t="shared" si="4"/>
        <v>38716.483434800903</v>
      </c>
      <c r="U12" s="57">
        <f t="shared" si="4"/>
        <v>36520.131244359109</v>
      </c>
      <c r="V12" s="57">
        <f t="shared" si="4"/>
        <v>34244.986976741828</v>
      </c>
      <c r="W12" s="57">
        <f t="shared" si="4"/>
        <v>27839.055029359799</v>
      </c>
      <c r="X12" s="57">
        <f t="shared" si="4"/>
        <v>31844.524609119901</v>
      </c>
      <c r="Y12" s="57">
        <f t="shared" si="4"/>
        <v>27839.055029359799</v>
      </c>
      <c r="Z12" s="57">
        <f t="shared" si="4"/>
        <v>27839.055029359799</v>
      </c>
      <c r="AA12" s="57">
        <f t="shared" si="4"/>
        <v>27839.055029359799</v>
      </c>
      <c r="AB12" s="57">
        <f t="shared" si="4"/>
        <v>27839.055029359799</v>
      </c>
      <c r="AC12" s="89"/>
      <c r="AD12" s="35"/>
    </row>
    <row r="13" spans="1:31">
      <c r="A13" s="58" t="s">
        <v>30</v>
      </c>
      <c r="B13" s="59" t="s">
        <v>478</v>
      </c>
      <c r="C13" s="63">
        <f t="shared" ref="C13:AB13" si="5">C14+C15+C16+C17</f>
        <v>785267.94489270798</v>
      </c>
      <c r="D13" s="65">
        <f t="shared" si="5"/>
        <v>791182.07904523832</v>
      </c>
      <c r="E13" s="62">
        <f t="shared" si="5"/>
        <v>15631.81044835132</v>
      </c>
      <c r="F13" s="62">
        <f t="shared" si="5"/>
        <v>25917.261867714002</v>
      </c>
      <c r="G13" s="62">
        <f t="shared" si="5"/>
        <v>26331.954195348502</v>
      </c>
      <c r="H13" s="62">
        <f t="shared" si="5"/>
        <v>31338.369703948927</v>
      </c>
      <c r="I13" s="62">
        <f t="shared" si="5"/>
        <v>25891.700831769402</v>
      </c>
      <c r="J13" s="62">
        <f t="shared" si="5"/>
        <v>27839.055029359821</v>
      </c>
      <c r="K13" s="62">
        <f t="shared" si="5"/>
        <v>27839.055029359813</v>
      </c>
      <c r="L13" s="62">
        <f t="shared" si="5"/>
        <v>31497.182565339841</v>
      </c>
      <c r="M13" s="62">
        <f t="shared" si="5"/>
        <v>33027.759117323549</v>
      </c>
      <c r="N13" s="62">
        <f t="shared" si="5"/>
        <v>32226.341477452501</v>
      </c>
      <c r="O13" s="62">
        <f t="shared" si="5"/>
        <v>40042.137964686917</v>
      </c>
      <c r="P13" s="62">
        <f t="shared" si="5"/>
        <v>57114.645152223908</v>
      </c>
      <c r="Q13" s="62">
        <f t="shared" si="5"/>
        <v>49686.150847482575</v>
      </c>
      <c r="R13" s="62">
        <f t="shared" si="5"/>
        <v>45387.274371050502</v>
      </c>
      <c r="S13" s="62">
        <f t="shared" si="5"/>
        <v>40889.979032005896</v>
      </c>
      <c r="T13" s="62">
        <f t="shared" si="5"/>
        <v>38716.483434800903</v>
      </c>
      <c r="U13" s="62">
        <f t="shared" si="5"/>
        <v>36520.131244359109</v>
      </c>
      <c r="V13" s="62">
        <f t="shared" si="5"/>
        <v>34244.986976741828</v>
      </c>
      <c r="W13" s="62">
        <f t="shared" si="5"/>
        <v>27839.055029359799</v>
      </c>
      <c r="X13" s="62">
        <f t="shared" si="5"/>
        <v>31844.524609119901</v>
      </c>
      <c r="Y13" s="62">
        <f t="shared" si="5"/>
        <v>27839.055029359799</v>
      </c>
      <c r="Z13" s="62">
        <f t="shared" si="5"/>
        <v>27839.055029359799</v>
      </c>
      <c r="AA13" s="62">
        <f t="shared" si="5"/>
        <v>27839.055029359799</v>
      </c>
      <c r="AB13" s="62">
        <f t="shared" si="5"/>
        <v>27839.055029359799</v>
      </c>
      <c r="AC13" s="90"/>
      <c r="AD13" s="35"/>
    </row>
    <row r="14" spans="1:31">
      <c r="A14" s="58" t="s">
        <v>479</v>
      </c>
      <c r="B14" s="59" t="s">
        <v>421</v>
      </c>
      <c r="C14" s="63">
        <v>208163.600319536</v>
      </c>
      <c r="D14" s="66">
        <f t="shared" si="3"/>
        <v>460624.04924093018</v>
      </c>
      <c r="E14" s="67">
        <f>'[10]Прил 9 коррект'!F46</f>
        <v>8458.76512</v>
      </c>
      <c r="F14" s="67">
        <f>'[10]Прил 9 коррект'!G46</f>
        <v>1858.0643</v>
      </c>
      <c r="G14" s="67">
        <f>'[10]Прил 9 коррект'!H46</f>
        <v>14609.55</v>
      </c>
      <c r="H14" s="67">
        <f>'[10]Прил 9 коррект'!I46</f>
        <v>18383.39</v>
      </c>
      <c r="I14" s="67">
        <f>'[10]Прил 9 коррект'!L46</f>
        <v>9957.5293408853995</v>
      </c>
      <c r="J14" s="67">
        <f>'[10]Прил 9 коррект'!O46</f>
        <v>10944.7216710015</v>
      </c>
      <c r="K14" s="67">
        <f>'[10]Прил 9 коррект'!R46</f>
        <v>6374.6543304617999</v>
      </c>
      <c r="L14" s="67">
        <f>'[10]Прил 9 коррект'!U46</f>
        <v>3112.8847663567899</v>
      </c>
      <c r="M14" s="67">
        <f>'[10]Прил 9 коррект'!X46</f>
        <v>4473.871452413</v>
      </c>
      <c r="N14" s="67">
        <f>'[10]Прил 9 коррект'!AA46</f>
        <v>4380.4805597045997</v>
      </c>
      <c r="O14" s="67">
        <f>'[10]Прил 9 коррект'!AD46</f>
        <v>16162.422318429601</v>
      </c>
      <c r="P14" s="67">
        <f>'[10]Прил 9 коррект'!AG46</f>
        <v>27839.055029359799</v>
      </c>
      <c r="Q14" s="67">
        <f>'[10]Прил 9 коррект'!AJ46</f>
        <v>27839.055029359799</v>
      </c>
      <c r="R14" s="67">
        <f>'[10]Прил 9 коррект'!AM46</f>
        <v>27839.055029359799</v>
      </c>
      <c r="S14" s="67">
        <f>'[10]Прил 9 коррект'!AP46</f>
        <v>27839.055029359799</v>
      </c>
      <c r="T14" s="67">
        <f>'[10]Прил 9 коррект'!AS46</f>
        <v>27839.055029359799</v>
      </c>
      <c r="U14" s="67">
        <f>'[10]Прил 9 коррект'!AV46</f>
        <v>27839.055029359799</v>
      </c>
      <c r="V14" s="67">
        <f>'[10]Прил 9 коррект'!AY46</f>
        <v>27839.055029359799</v>
      </c>
      <c r="W14" s="67">
        <f>'[10]Прил 9 коррект'!BB46</f>
        <v>27839.055029359799</v>
      </c>
      <c r="X14" s="67">
        <f>'[10]Прил 9 коррект'!BE46</f>
        <v>27839.055029359799</v>
      </c>
      <c r="Y14" s="67">
        <f>'[10]Прил 9 коррект'!BH46</f>
        <v>27839.055029359799</v>
      </c>
      <c r="Z14" s="67">
        <f>'[10]Прил 9 коррект'!BK46</f>
        <v>27839.055029359799</v>
      </c>
      <c r="AA14" s="67">
        <f>'[10]Прил 9 коррект'!BN46</f>
        <v>27839.055029359799</v>
      </c>
      <c r="AB14" s="67">
        <f>'[10]Прил 9 коррект'!BQ46</f>
        <v>27839.055029359799</v>
      </c>
      <c r="AC14" s="90">
        <f>'[10]Прил 9 коррект'!E46</f>
        <v>460624.04924093001</v>
      </c>
      <c r="AD14" s="90">
        <f t="shared" ref="AD14:AD17" si="6">AC14-D14</f>
        <v>0</v>
      </c>
    </row>
    <row r="15" spans="1:31">
      <c r="A15" s="58" t="s">
        <v>480</v>
      </c>
      <c r="B15" s="59" t="s">
        <v>481</v>
      </c>
      <c r="C15" s="63">
        <v>245303.46812588599</v>
      </c>
      <c r="D15" s="68">
        <f t="shared" si="3"/>
        <v>82041.275179383854</v>
      </c>
      <c r="E15" s="69">
        <f>'[10]Прил 9 коррект'!F52</f>
        <v>0</v>
      </c>
      <c r="F15" s="69">
        <f>'[10]Прил 9 коррект'!G52</f>
        <v>0</v>
      </c>
      <c r="G15" s="69">
        <f>'[10]Прил 9 коррект'!H52</f>
        <v>0</v>
      </c>
      <c r="H15" s="69">
        <f>'[10]Прил 9 коррект'!I52</f>
        <v>0</v>
      </c>
      <c r="I15" s="69">
        <f>'[10]Прил 9 коррект'!L52</f>
        <v>0</v>
      </c>
      <c r="J15" s="69">
        <f>'[10]Прил 9 коррект'!O52</f>
        <v>0</v>
      </c>
      <c r="K15" s="69">
        <f>'[10]Прил 9 коррект'!R52</f>
        <v>0</v>
      </c>
      <c r="L15" s="69">
        <f>'[10]Прил 9 коррект'!U52</f>
        <v>0</v>
      </c>
      <c r="M15" s="69">
        <f>'[10]Прил 9 коррект'!X52</f>
        <v>0</v>
      </c>
      <c r="N15" s="69">
        <f>'[10]Прил 9 коррект'!AA52</f>
        <v>0</v>
      </c>
      <c r="O15" s="69">
        <f>'[10]Прил 9 коррект'!AD52</f>
        <v>0</v>
      </c>
      <c r="P15" s="69">
        <f>'[10]Прил 9 коррект'!AG52</f>
        <v>2392.2757607365002</v>
      </c>
      <c r="Q15" s="69">
        <f>'[10]Прил 9 коррект'!AJ52</f>
        <v>19079.949926728001</v>
      </c>
      <c r="R15" s="69">
        <f>'[10]Прил 9 коррект'!AM52</f>
        <v>17548.219341690699</v>
      </c>
      <c r="S15" s="69">
        <f>'[10]Прил 9 коррект'!AP52</f>
        <v>13050.924002646099</v>
      </c>
      <c r="T15" s="69">
        <f>'[10]Прил 9 коррект'!AS52</f>
        <v>10877.4284054411</v>
      </c>
      <c r="U15" s="69">
        <f>'[10]Прил 9 коррект'!AV52</f>
        <v>8681.0762149993097</v>
      </c>
      <c r="V15" s="69">
        <f>'[10]Прил 9 коррект'!AY52</f>
        <v>6405.9319473820296</v>
      </c>
      <c r="W15" s="69">
        <f>'[10]Прил 9 коррект'!BB52</f>
        <v>0</v>
      </c>
      <c r="X15" s="69">
        <f>'[10]Прил 9 коррект'!BE52</f>
        <v>4005.4695797600998</v>
      </c>
      <c r="Y15" s="69">
        <f>'[10]Прил 9 коррект'!BH52</f>
        <v>0</v>
      </c>
      <c r="Z15" s="69">
        <f>'[10]Прил 9 коррект'!BK52</f>
        <v>0</v>
      </c>
      <c r="AA15" s="69">
        <f>'[10]Прил 9 коррект'!BN52</f>
        <v>0</v>
      </c>
      <c r="AB15" s="69">
        <f>'[10]Прил 9 коррект'!BQ52</f>
        <v>0</v>
      </c>
      <c r="AC15" s="90">
        <f>'[10]Прил 9 коррект'!E52</f>
        <v>82041.275179383898</v>
      </c>
      <c r="AD15" s="90">
        <f t="shared" si="6"/>
        <v>0</v>
      </c>
      <c r="AE15" s="35"/>
    </row>
    <row r="16" spans="1:31">
      <c r="A16" s="58" t="s">
        <v>482</v>
      </c>
      <c r="B16" s="59" t="s">
        <v>475</v>
      </c>
      <c r="C16" s="63">
        <v>178427.546447286</v>
      </c>
      <c r="D16" s="65">
        <f t="shared" si="3"/>
        <v>72985.460482376904</v>
      </c>
      <c r="E16" s="70">
        <f>'[10]Прил 9 коррект'!F54+'[10]Прил 9 коррект'!F49</f>
        <v>885.25583320261103</v>
      </c>
      <c r="F16" s="70">
        <f>'[10]Прил 9 коррект'!G54+'[10]Прил 9 коррект'!G49</f>
        <v>6642.2115008463597</v>
      </c>
      <c r="G16" s="70">
        <f>'[10]Прил 9 коррект'!H54+'[10]Прил 9 коррект'!H49</f>
        <v>6671.2136713700702</v>
      </c>
      <c r="H16" s="62">
        <f>'[10]Прил 9 коррект'!I54+'[10]Прил 9 коррект'!I49</f>
        <v>5823.9134583333298</v>
      </c>
      <c r="I16" s="62">
        <f>'[10]Прил 9 коррект'!L54+'[10]Прил 9 коррект'!L49</f>
        <v>8203.6324774904606</v>
      </c>
      <c r="J16" s="62">
        <f>'[10]Прил 9 коррект'!O54+'[10]Прил 9 коррект'!O49</f>
        <v>7110.6948151650204</v>
      </c>
      <c r="K16" s="62">
        <f>'[10]Прил 9 коррект'!R54+'[10]Прил 9 коррект'!R49</f>
        <v>8130.1368019026104</v>
      </c>
      <c r="L16" s="62">
        <f>'[10]Прил 9 коррект'!U54+'[10]Прил 9 коррект'!U49</f>
        <v>9632.0943801941503</v>
      </c>
      <c r="M16" s="62">
        <f>'[10]Прил 9 коррект'!X54+'[10]Прил 9 коррект'!X49</f>
        <v>8024.7512356404495</v>
      </c>
      <c r="N16" s="62">
        <f>'[10]Прил 9 коррект'!AA54+'[10]Прил 9 коррект'!AA49</f>
        <v>5996.2972005922002</v>
      </c>
      <c r="O16" s="62">
        <f>'[10]Прил 9 коррект'!AD54+'[10]Прил 9 коррект'!AD49</f>
        <v>3464.5389278907401</v>
      </c>
      <c r="P16" s="62">
        <f>'[10]Прил 9 коррект'!AG54+'[10]Прил 9 коррект'!AG49</f>
        <v>2160.6481617740101</v>
      </c>
      <c r="Q16" s="62">
        <f>'[10]Прил 9 коррект'!AJ54+'[10]Прил 9 коррект'!AJ49</f>
        <v>240.07201797489</v>
      </c>
      <c r="R16" s="62">
        <f>'[10]Прил 9 коррект'!AM54+'[10]Прил 9 коррект'!AM49</f>
        <v>0</v>
      </c>
      <c r="S16" s="62">
        <f>'[10]Прил 9 коррект'!AP54+'[10]Прил 9 коррект'!AP49</f>
        <v>0</v>
      </c>
      <c r="T16" s="62">
        <f>'[10]Прил 9 коррект'!AS54+'[10]Прил 9 коррект'!AS49</f>
        <v>0</v>
      </c>
      <c r="U16" s="62">
        <f>'[10]Прил 9 коррект'!AV54+'[10]Прил 9 коррект'!AV49</f>
        <v>0</v>
      </c>
      <c r="V16" s="62">
        <f>'[10]Прил 9 коррект'!AY54+'[10]Прил 9 коррект'!AY49</f>
        <v>0</v>
      </c>
      <c r="W16" s="62">
        <f>'[10]Прил 9 коррект'!BB54+'[10]Прил 9 коррект'!BB49</f>
        <v>0</v>
      </c>
      <c r="X16" s="62">
        <f>'[10]Прил 9 коррект'!BE54+'[10]Прил 9 коррект'!BE49</f>
        <v>0</v>
      </c>
      <c r="Y16" s="62">
        <f>'[10]Прил 9 коррект'!BH54+'[10]Прил 9 коррект'!BH49</f>
        <v>0</v>
      </c>
      <c r="Z16" s="62">
        <f>'[10]Прил 9 коррект'!BK54+'[10]Прил 9 коррект'!BK49</f>
        <v>0</v>
      </c>
      <c r="AA16" s="62">
        <f>'[10]Прил 9 коррект'!BN54+'[10]Прил 9 коррект'!BN49</f>
        <v>0</v>
      </c>
      <c r="AB16" s="62">
        <f>'[10]Прил 9 коррект'!BQ54+'[10]Прил 9 коррект'!BQ49</f>
        <v>0</v>
      </c>
      <c r="AC16" s="91">
        <f>'[10]Прил 9 коррект'!E49+'[10]Прил 9 коррект'!E54</f>
        <v>72985.460482376904</v>
      </c>
      <c r="AD16" s="90">
        <f t="shared" si="6"/>
        <v>0</v>
      </c>
    </row>
    <row r="17" spans="1:31" ht="30">
      <c r="A17" s="58" t="s">
        <v>483</v>
      </c>
      <c r="B17" s="59" t="s">
        <v>484</v>
      </c>
      <c r="C17" s="63">
        <v>153373.32999999999</v>
      </c>
      <c r="D17" s="65">
        <f t="shared" si="3"/>
        <v>175531.29414254741</v>
      </c>
      <c r="E17" s="70">
        <f>'[10]Прил 9 коррект'!F48+'[10]Прил 9 коррект'!F53</f>
        <v>6287.7894951487096</v>
      </c>
      <c r="F17" s="70">
        <f>'[10]Прил 9 коррект'!G48+'[10]Прил 9 коррект'!G53</f>
        <v>17416.986066867641</v>
      </c>
      <c r="G17" s="70">
        <f>'[10]Прил 9 коррект'!H48+'[10]Прил 9 коррект'!H53</f>
        <v>5051.190523978431</v>
      </c>
      <c r="H17" s="62">
        <f>'[10]Прил 9 коррект'!I48+'[10]Прил 9 коррект'!I53</f>
        <v>7131.0662456155997</v>
      </c>
      <c r="I17" s="62">
        <f>'[10]Прил 9 коррект'!L48+'[10]Прил 9 коррект'!L53</f>
        <v>7730.5390133935398</v>
      </c>
      <c r="J17" s="62">
        <f>'[10]Прил 9 коррект'!O48+'[10]Прил 9 коррект'!O53</f>
        <v>9783.6385431932995</v>
      </c>
      <c r="K17" s="62">
        <f>'[10]Прил 9 коррект'!R48+'[10]Прил 9 коррект'!R53</f>
        <v>13334.263896995401</v>
      </c>
      <c r="L17" s="62">
        <f>'[10]Прил 9 коррект'!U48+'[10]Прил 9 коррект'!U53</f>
        <v>18752.2034187889</v>
      </c>
      <c r="M17" s="62">
        <f>'[10]Прил 9 коррект'!X48+'[10]Прил 9 коррект'!X53</f>
        <v>20529.1364292701</v>
      </c>
      <c r="N17" s="62">
        <f>'[10]Прил 9 коррект'!AA48+'[10]Прил 9 коррект'!AA53</f>
        <v>21849.563717155699</v>
      </c>
      <c r="O17" s="62">
        <f>'[10]Прил 9 коррект'!AD48+'[10]Прил 9 коррект'!AD53</f>
        <v>20415.17671836658</v>
      </c>
      <c r="P17" s="62">
        <f>'[10]Прил 9 коррект'!AG48+'[10]Прил 9 коррект'!AG53</f>
        <v>24722.6662003536</v>
      </c>
      <c r="Q17" s="62">
        <f>'[10]Прил 9 коррект'!AJ48+'[10]Прил 9 коррект'!AJ53</f>
        <v>2527.0738734198899</v>
      </c>
      <c r="R17" s="62">
        <f>'[10]Прил 9 коррект'!AM48+'[10]Прил 9 коррект'!AM53</f>
        <v>0</v>
      </c>
      <c r="S17" s="62">
        <f>'[10]Прил 9 коррект'!AP48+'[10]Прил 9 коррект'!AP53</f>
        <v>0</v>
      </c>
      <c r="T17" s="62">
        <f>'[10]Прил 9 коррект'!AS48+'[10]Прил 9 коррект'!AS53</f>
        <v>0</v>
      </c>
      <c r="U17" s="62">
        <f>'[10]Прил 9 коррект'!AV48+'[10]Прил 9 коррект'!AV53</f>
        <v>0</v>
      </c>
      <c r="V17" s="62">
        <f>'[10]Прил 9 коррект'!AY48+'[10]Прил 9 коррект'!AY53</f>
        <v>0</v>
      </c>
      <c r="W17" s="62">
        <f>'[10]Прил 9 коррект'!BB48+'[10]Прил 9 коррект'!BB53</f>
        <v>0</v>
      </c>
      <c r="X17" s="62">
        <f>'[10]Прил 9 коррект'!BE48+'[10]Прил 9 коррект'!BE53</f>
        <v>0</v>
      </c>
      <c r="Y17" s="62">
        <f>'[10]Прил 9 коррект'!BH48+'[10]Прил 9 коррект'!BH53</f>
        <v>0</v>
      </c>
      <c r="Z17" s="62">
        <f>'[10]Прил 9 коррект'!BK48+'[10]Прил 9 коррект'!BK53</f>
        <v>0</v>
      </c>
      <c r="AA17" s="62">
        <f>'[10]Прил 9 коррект'!BN48+'[10]Прил 9 коррект'!BN53</f>
        <v>0</v>
      </c>
      <c r="AB17" s="62">
        <f>'[10]Прил 9 коррект'!BQ48+'[10]Прил 9 коррект'!BQ53</f>
        <v>0</v>
      </c>
      <c r="AC17" s="91">
        <f>'[10]Прил 9 коррект'!E48+'[10]Прил 9 коррект'!E53</f>
        <v>175531.29414254759</v>
      </c>
      <c r="AD17" s="90">
        <f t="shared" si="6"/>
        <v>0</v>
      </c>
    </row>
    <row r="18" spans="1:31">
      <c r="A18" s="58" t="s">
        <v>121</v>
      </c>
      <c r="B18" s="59" t="s">
        <v>485</v>
      </c>
      <c r="C18" s="63">
        <v>153373.32999999999</v>
      </c>
      <c r="D18" s="61">
        <f t="shared" si="3"/>
        <v>175531.29081254735</v>
      </c>
      <c r="E18" s="62">
        <f>97993.9547286723+6.46500000000015+2902.87627132772</f>
        <v>100903.29600000002</v>
      </c>
      <c r="F18" s="62">
        <f>7056.18084-6.46500000000015</f>
        <v>7049.7158399999998</v>
      </c>
      <c r="G18" s="62">
        <v>69.67</v>
      </c>
      <c r="H18" s="62">
        <v>0</v>
      </c>
      <c r="I18" s="62">
        <v>0</v>
      </c>
      <c r="J18" s="84">
        <f t="shared" ref="J18:L18" si="7">J58</f>
        <v>14906.286334499415</v>
      </c>
      <c r="K18" s="84">
        <f t="shared" si="7"/>
        <v>21925.850987914208</v>
      </c>
      <c r="L18" s="84">
        <f t="shared" si="7"/>
        <v>30676.471650133692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90"/>
      <c r="AD18" s="35"/>
    </row>
    <row r="19" spans="1:31">
      <c r="A19" s="46"/>
      <c r="B19" s="54" t="s">
        <v>317</v>
      </c>
      <c r="C19" s="55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90"/>
      <c r="AD19" s="35"/>
    </row>
    <row r="20" spans="1:31" ht="28.5">
      <c r="A20" s="46" t="s">
        <v>125</v>
      </c>
      <c r="B20" s="54" t="s">
        <v>473</v>
      </c>
      <c r="C20" s="55">
        <f t="shared" ref="C20:AB20" si="8">C21+C22+C23</f>
        <v>399931.44271534006</v>
      </c>
      <c r="D20" s="56">
        <f t="shared" si="8"/>
        <v>443922.66002461303</v>
      </c>
      <c r="E20" s="57">
        <f t="shared" si="8"/>
        <v>37179.998027305854</v>
      </c>
      <c r="F20" s="57">
        <f t="shared" si="8"/>
        <v>9224.9047993231306</v>
      </c>
      <c r="G20" s="57">
        <f t="shared" si="8"/>
        <v>19057.615095296591</v>
      </c>
      <c r="H20" s="57">
        <f t="shared" si="8"/>
        <v>4217.316675</v>
      </c>
      <c r="I20" s="57">
        <f t="shared" si="8"/>
        <v>7063.1543467268793</v>
      </c>
      <c r="J20" s="57">
        <f t="shared" si="8"/>
        <v>19404.567245331102</v>
      </c>
      <c r="K20" s="57">
        <f t="shared" si="8"/>
        <v>23085.986884869133</v>
      </c>
      <c r="L20" s="57">
        <f t="shared" si="8"/>
        <v>23555.307846697684</v>
      </c>
      <c r="M20" s="57">
        <f t="shared" si="8"/>
        <v>9524.2587172766198</v>
      </c>
      <c r="N20" s="57">
        <f t="shared" si="8"/>
        <v>14567.345639188119</v>
      </c>
      <c r="O20" s="57">
        <f t="shared" si="8"/>
        <v>14307.67112471882</v>
      </c>
      <c r="P20" s="57">
        <f t="shared" si="8"/>
        <v>16275.29738393759</v>
      </c>
      <c r="Q20" s="57">
        <f t="shared" si="8"/>
        <v>32872.037834272029</v>
      </c>
      <c r="R20" s="57">
        <f t="shared" si="8"/>
        <v>30898.708432695799</v>
      </c>
      <c r="S20" s="57">
        <f t="shared" si="8"/>
        <v>27521.163443447098</v>
      </c>
      <c r="T20" s="57">
        <f t="shared" si="8"/>
        <v>25898.487875213497</v>
      </c>
      <c r="U20" s="57">
        <f t="shared" si="8"/>
        <v>24264.858549859298</v>
      </c>
      <c r="V20" s="57">
        <f t="shared" si="8"/>
        <v>22583.666838251938</v>
      </c>
      <c r="W20" s="57">
        <f t="shared" si="8"/>
        <v>16969.51454127087</v>
      </c>
      <c r="X20" s="57">
        <f t="shared" si="8"/>
        <v>14078.327744786158</v>
      </c>
      <c r="Y20" s="57">
        <f t="shared" si="8"/>
        <v>12843.117744786199</v>
      </c>
      <c r="Z20" s="57">
        <f t="shared" si="8"/>
        <v>12843.117744786199</v>
      </c>
      <c r="AA20" s="57">
        <f t="shared" si="8"/>
        <v>12843.117744786199</v>
      </c>
      <c r="AB20" s="57">
        <f t="shared" si="8"/>
        <v>12843.117744786199</v>
      </c>
      <c r="AC20" s="89"/>
      <c r="AD20" s="35"/>
    </row>
    <row r="21" spans="1:31">
      <c r="A21" s="58" t="s">
        <v>41</v>
      </c>
      <c r="B21" s="59" t="s">
        <v>474</v>
      </c>
      <c r="C21" s="60">
        <f t="shared" ref="C21:AB21" si="9">C27+C30+C26</f>
        <v>362358.96784948395</v>
      </c>
      <c r="D21" s="61">
        <f t="shared" si="9"/>
        <v>413731.44215862919</v>
      </c>
      <c r="E21" s="62">
        <f t="shared" si="9"/>
        <v>36872.121029999988</v>
      </c>
      <c r="F21" s="62">
        <f t="shared" si="9"/>
        <v>5222.8591900000001</v>
      </c>
      <c r="G21" s="62">
        <f t="shared" si="9"/>
        <v>14660.57</v>
      </c>
      <c r="H21" s="62">
        <f t="shared" si="9"/>
        <v>0</v>
      </c>
      <c r="I21" s="62">
        <f t="shared" si="9"/>
        <v>6839.5949889762096</v>
      </c>
      <c r="J21" s="62">
        <f t="shared" si="9"/>
        <v>17177.621994499081</v>
      </c>
      <c r="K21" s="62">
        <f t="shared" si="9"/>
        <v>20174.320334570592</v>
      </c>
      <c r="L21" s="62">
        <f t="shared" si="9"/>
        <v>19726.883798480954</v>
      </c>
      <c r="M21" s="62">
        <f t="shared" si="9"/>
        <v>6280.0704634452104</v>
      </c>
      <c r="N21" s="62">
        <f t="shared" si="9"/>
        <v>12392.7277447862</v>
      </c>
      <c r="O21" s="62">
        <f t="shared" si="9"/>
        <v>12805.5877447862</v>
      </c>
      <c r="P21" s="62">
        <f t="shared" si="9"/>
        <v>15235.393505522699</v>
      </c>
      <c r="Q21" s="62">
        <f t="shared" si="9"/>
        <v>32756.492958892599</v>
      </c>
      <c r="R21" s="62">
        <f t="shared" si="9"/>
        <v>30898.708432695799</v>
      </c>
      <c r="S21" s="62">
        <f t="shared" si="9"/>
        <v>27521.163443447098</v>
      </c>
      <c r="T21" s="62">
        <f t="shared" si="9"/>
        <v>25898.487875213497</v>
      </c>
      <c r="U21" s="62">
        <f t="shared" si="9"/>
        <v>24264.858549859298</v>
      </c>
      <c r="V21" s="62">
        <f t="shared" si="9"/>
        <v>22583.666838251938</v>
      </c>
      <c r="W21" s="62">
        <f t="shared" si="9"/>
        <v>16969.51454127087</v>
      </c>
      <c r="X21" s="62">
        <f t="shared" si="9"/>
        <v>14078.327744786158</v>
      </c>
      <c r="Y21" s="62">
        <f t="shared" si="9"/>
        <v>12843.117744786199</v>
      </c>
      <c r="Z21" s="62">
        <f t="shared" si="9"/>
        <v>12843.117744786199</v>
      </c>
      <c r="AA21" s="62">
        <f t="shared" si="9"/>
        <v>12843.117744786199</v>
      </c>
      <c r="AB21" s="62">
        <f t="shared" si="9"/>
        <v>12843.117744786199</v>
      </c>
      <c r="AC21" s="90"/>
      <c r="AD21" s="35"/>
    </row>
    <row r="22" spans="1:31">
      <c r="A22" s="58" t="s">
        <v>48</v>
      </c>
      <c r="B22" s="59" t="s">
        <v>475</v>
      </c>
      <c r="C22" s="63">
        <f t="shared" ref="C22:AB22" si="10">C28</f>
        <v>37572.4748658561</v>
      </c>
      <c r="D22" s="61">
        <f t="shared" si="10"/>
        <v>30191.217865983817</v>
      </c>
      <c r="E22" s="62">
        <f t="shared" si="10"/>
        <v>307.87699730586297</v>
      </c>
      <c r="F22" s="62">
        <f t="shared" si="10"/>
        <v>4002.0456093231301</v>
      </c>
      <c r="G22" s="62">
        <f t="shared" si="10"/>
        <v>4397.0450952965903</v>
      </c>
      <c r="H22" s="62">
        <f t="shared" si="10"/>
        <v>4217.316675</v>
      </c>
      <c r="I22" s="62">
        <f t="shared" si="10"/>
        <v>223.55935775066999</v>
      </c>
      <c r="J22" s="62">
        <f t="shared" si="10"/>
        <v>2226.9452508320201</v>
      </c>
      <c r="K22" s="62">
        <f t="shared" si="10"/>
        <v>2911.6665502985402</v>
      </c>
      <c r="L22" s="62">
        <f t="shared" si="10"/>
        <v>3828.4240482167311</v>
      </c>
      <c r="M22" s="62">
        <f t="shared" si="10"/>
        <v>3244.1882538314098</v>
      </c>
      <c r="N22" s="62">
        <f t="shared" si="10"/>
        <v>2174.6178944019198</v>
      </c>
      <c r="O22" s="62">
        <f t="shared" si="10"/>
        <v>1502.0833799326199</v>
      </c>
      <c r="P22" s="62">
        <f t="shared" si="10"/>
        <v>1039.90387841489</v>
      </c>
      <c r="Q22" s="62">
        <f t="shared" si="10"/>
        <v>115.544875379432</v>
      </c>
      <c r="R22" s="62">
        <f t="shared" si="10"/>
        <v>0</v>
      </c>
      <c r="S22" s="62">
        <f t="shared" si="10"/>
        <v>0</v>
      </c>
      <c r="T22" s="62">
        <f t="shared" si="10"/>
        <v>0</v>
      </c>
      <c r="U22" s="62">
        <f t="shared" si="10"/>
        <v>0</v>
      </c>
      <c r="V22" s="62">
        <f t="shared" si="10"/>
        <v>0</v>
      </c>
      <c r="W22" s="62">
        <f t="shared" si="10"/>
        <v>0</v>
      </c>
      <c r="X22" s="62">
        <f t="shared" si="10"/>
        <v>0</v>
      </c>
      <c r="Y22" s="62">
        <f t="shared" si="10"/>
        <v>0</v>
      </c>
      <c r="Z22" s="62">
        <f t="shared" si="10"/>
        <v>0</v>
      </c>
      <c r="AA22" s="62">
        <f t="shared" si="10"/>
        <v>0</v>
      </c>
      <c r="AB22" s="62">
        <f t="shared" si="10"/>
        <v>0</v>
      </c>
      <c r="AC22" s="90"/>
      <c r="AD22" s="35"/>
    </row>
    <row r="23" spans="1:31">
      <c r="A23" s="58" t="s">
        <v>54</v>
      </c>
      <c r="B23" s="59" t="s">
        <v>476</v>
      </c>
      <c r="C23" s="63"/>
      <c r="D23" s="61">
        <f t="shared" ref="D23:D30" si="11">SUM(E23:AB23)</f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90"/>
      <c r="AD23" s="35"/>
    </row>
    <row r="24" spans="1:31" ht="42.75">
      <c r="A24" s="46" t="s">
        <v>136</v>
      </c>
      <c r="B24" s="54" t="s">
        <v>477</v>
      </c>
      <c r="C24" s="55">
        <f t="shared" ref="C24:AB24" si="12">C25+C30</f>
        <v>432228.1127153401</v>
      </c>
      <c r="D24" s="64">
        <f t="shared" si="12"/>
        <v>514792.07598206575</v>
      </c>
      <c r="E24" s="57">
        <f t="shared" si="12"/>
        <v>39366.78480334358</v>
      </c>
      <c r="F24" s="57">
        <f t="shared" si="12"/>
        <v>19718.93568160804</v>
      </c>
      <c r="G24" s="57">
        <f t="shared" si="12"/>
        <v>22386.89123798483</v>
      </c>
      <c r="H24" s="57">
        <f t="shared" si="12"/>
        <v>6208.38376271773</v>
      </c>
      <c r="I24" s="57">
        <f t="shared" si="12"/>
        <v>9273.0819999999985</v>
      </c>
      <c r="J24" s="57">
        <f t="shared" si="12"/>
        <v>22526.44889994388</v>
      </c>
      <c r="K24" s="57">
        <f t="shared" si="12"/>
        <v>27831.27768243543</v>
      </c>
      <c r="L24" s="57">
        <f t="shared" si="12"/>
        <v>30815.212758971458</v>
      </c>
      <c r="M24" s="57">
        <f t="shared" si="12"/>
        <v>17581.43183274996</v>
      </c>
      <c r="N24" s="57">
        <f t="shared" si="12"/>
        <v>23106.59146677583</v>
      </c>
      <c r="O24" s="57">
        <f t="shared" si="12"/>
        <v>22296.1456177623</v>
      </c>
      <c r="P24" s="57">
        <f t="shared" si="12"/>
        <v>26005.392152731911</v>
      </c>
      <c r="Q24" s="57">
        <f t="shared" si="12"/>
        <v>34088.299680371318</v>
      </c>
      <c r="R24" s="57">
        <f t="shared" si="12"/>
        <v>30898.708432695799</v>
      </c>
      <c r="S24" s="57">
        <f t="shared" si="12"/>
        <v>27521.163443447098</v>
      </c>
      <c r="T24" s="57">
        <f t="shared" si="12"/>
        <v>25898.487875213497</v>
      </c>
      <c r="U24" s="57">
        <f t="shared" si="12"/>
        <v>24264.858549859298</v>
      </c>
      <c r="V24" s="57">
        <f t="shared" si="12"/>
        <v>22583.666838251938</v>
      </c>
      <c r="W24" s="57">
        <f t="shared" si="12"/>
        <v>16969.51454127087</v>
      </c>
      <c r="X24" s="57">
        <f t="shared" si="12"/>
        <v>14078.327744786158</v>
      </c>
      <c r="Y24" s="57">
        <f t="shared" si="12"/>
        <v>12843.117744786199</v>
      </c>
      <c r="Z24" s="57">
        <f t="shared" si="12"/>
        <v>12843.117744786199</v>
      </c>
      <c r="AA24" s="57">
        <f t="shared" si="12"/>
        <v>12843.117744786199</v>
      </c>
      <c r="AB24" s="57">
        <f t="shared" si="12"/>
        <v>12843.117744786199</v>
      </c>
      <c r="AC24" s="89"/>
      <c r="AD24" s="35"/>
    </row>
    <row r="25" spans="1:31">
      <c r="A25" s="58" t="s">
        <v>66</v>
      </c>
      <c r="B25" s="59" t="s">
        <v>478</v>
      </c>
      <c r="C25" s="63">
        <f t="shared" ref="C25:AB25" si="13">C26+C27+C28+C29</f>
        <v>399931.44271534012</v>
      </c>
      <c r="D25" s="71">
        <f t="shared" si="13"/>
        <v>443922.65669461311</v>
      </c>
      <c r="E25" s="62">
        <f t="shared" si="13"/>
        <v>5286.1457333435828</v>
      </c>
      <c r="F25" s="62">
        <f t="shared" si="13"/>
        <v>15467.46649160804</v>
      </c>
      <c r="G25" s="62">
        <f t="shared" si="13"/>
        <v>22340.971237984832</v>
      </c>
      <c r="H25" s="62">
        <f t="shared" si="13"/>
        <v>6208.38376271773</v>
      </c>
      <c r="I25" s="62">
        <f t="shared" si="13"/>
        <v>9273.0819999999985</v>
      </c>
      <c r="J25" s="62">
        <f t="shared" si="13"/>
        <v>15352.164235622797</v>
      </c>
      <c r="K25" s="62">
        <f t="shared" si="13"/>
        <v>17278.52879750904</v>
      </c>
      <c r="L25" s="62">
        <f t="shared" si="13"/>
        <v>16050.855280766242</v>
      </c>
      <c r="M25" s="62">
        <f t="shared" si="13"/>
        <v>17581.43183274996</v>
      </c>
      <c r="N25" s="62">
        <f t="shared" si="13"/>
        <v>23106.59146677583</v>
      </c>
      <c r="O25" s="62">
        <f t="shared" si="13"/>
        <v>22296.1456177623</v>
      </c>
      <c r="P25" s="62">
        <f t="shared" si="13"/>
        <v>26005.392152731911</v>
      </c>
      <c r="Q25" s="62">
        <f t="shared" si="13"/>
        <v>34088.299680371318</v>
      </c>
      <c r="R25" s="62">
        <f t="shared" si="13"/>
        <v>30898.708432695799</v>
      </c>
      <c r="S25" s="62">
        <f t="shared" si="13"/>
        <v>27521.163443447098</v>
      </c>
      <c r="T25" s="62">
        <f t="shared" si="13"/>
        <v>25898.487875213497</v>
      </c>
      <c r="U25" s="62">
        <f t="shared" si="13"/>
        <v>24264.858549859298</v>
      </c>
      <c r="V25" s="62">
        <f t="shared" si="13"/>
        <v>22583.666838251938</v>
      </c>
      <c r="W25" s="62">
        <f t="shared" si="13"/>
        <v>16969.51454127087</v>
      </c>
      <c r="X25" s="62">
        <f t="shared" si="13"/>
        <v>14078.327744786158</v>
      </c>
      <c r="Y25" s="62">
        <f t="shared" si="13"/>
        <v>12843.117744786199</v>
      </c>
      <c r="Z25" s="62">
        <f t="shared" si="13"/>
        <v>12843.117744786199</v>
      </c>
      <c r="AA25" s="62">
        <f t="shared" si="13"/>
        <v>12843.117744786199</v>
      </c>
      <c r="AB25" s="62">
        <f t="shared" si="13"/>
        <v>12843.117744786199</v>
      </c>
      <c r="AC25" s="90"/>
      <c r="AD25" s="35"/>
    </row>
    <row r="26" spans="1:31">
      <c r="A26" s="58" t="s">
        <v>69</v>
      </c>
      <c r="B26" s="59" t="s">
        <v>421</v>
      </c>
      <c r="C26" s="63">
        <v>158891.286984053</v>
      </c>
      <c r="D26" s="66">
        <f t="shared" si="11"/>
        <v>242901.90527431236</v>
      </c>
      <c r="E26" s="67">
        <f>'[10]Прил 9 коррект'!BU46</f>
        <v>2791.4819599999901</v>
      </c>
      <c r="F26" s="67">
        <f>'[10]Прил 9 коррект'!BV46</f>
        <v>971.39</v>
      </c>
      <c r="G26" s="67">
        <f>'[10]Прил 9 коррект'!BW46</f>
        <v>9273.0865900000008</v>
      </c>
      <c r="H26" s="67">
        <f>'[10]Прил 9 коррект'!BX46</f>
        <v>0</v>
      </c>
      <c r="I26" s="67">
        <f>'[10]Прил 9 коррект'!CA46</f>
        <v>6839.5949889762096</v>
      </c>
      <c r="J26" s="67">
        <f>'[10]Прил 9 коррект'!CD46</f>
        <v>10003.337330177999</v>
      </c>
      <c r="K26" s="67">
        <f>'[10]Прил 9 коррект'!CG46</f>
        <v>9621.5714496441997</v>
      </c>
      <c r="L26" s="67">
        <f>'[10]Прил 9 коррект'!CJ46</f>
        <v>4962.5263202757396</v>
      </c>
      <c r="M26" s="67">
        <f>'[10]Прил 9 коррект'!CM46</f>
        <v>6280.0704634452104</v>
      </c>
      <c r="N26" s="67">
        <f>'[10]Прил 9 коррект'!CP46</f>
        <v>12392.7277447862</v>
      </c>
      <c r="O26" s="67">
        <f>'[10]Прил 9 коррект'!CS46</f>
        <v>12805.5877447862</v>
      </c>
      <c r="P26" s="67">
        <f>'[10]Прил 9 коррект'!CV46</f>
        <v>12843.117744786199</v>
      </c>
      <c r="Q26" s="67">
        <f>'[10]Прил 9 коррект'!CY46</f>
        <v>12843.117744786199</v>
      </c>
      <c r="R26" s="67">
        <f>'[10]Прил 9 коррект'!DB46</f>
        <v>12843.117744786199</v>
      </c>
      <c r="S26" s="67">
        <f>'[10]Прил 9 коррект'!DE46</f>
        <v>12843.117744786199</v>
      </c>
      <c r="T26" s="67">
        <f>'[10]Прил 9 коррект'!DH46</f>
        <v>12843.117744786199</v>
      </c>
      <c r="U26" s="67">
        <f>'[10]Прил 9 коррект'!DK46</f>
        <v>12843.117744786199</v>
      </c>
      <c r="V26" s="67">
        <f>'[10]Прил 9 коррект'!DN46</f>
        <v>12843.117744786199</v>
      </c>
      <c r="W26" s="67">
        <f>'[10]Прил 9 коррект'!DQ46</f>
        <v>12843.117744786199</v>
      </c>
      <c r="X26" s="67">
        <f>'[10]Прил 9 коррект'!DT46</f>
        <v>12843.117744786199</v>
      </c>
      <c r="Y26" s="67">
        <f>'[10]Прил 9 коррект'!DW46</f>
        <v>12843.117744786199</v>
      </c>
      <c r="Z26" s="67">
        <f>'[10]Прил 9 коррект'!DZ46</f>
        <v>12843.117744786199</v>
      </c>
      <c r="AA26" s="67">
        <f>'[10]Прил 9 коррект'!EC46</f>
        <v>12843.117744786199</v>
      </c>
      <c r="AB26" s="67">
        <f>'[10]Прил 9 коррект'!EF46</f>
        <v>12843.117744786199</v>
      </c>
      <c r="AC26" s="90">
        <f>'[10]Прил 9 коррект'!BT46</f>
        <v>242901.90527431201</v>
      </c>
      <c r="AD26" s="90">
        <f t="shared" ref="AD26:AD29" si="14">AC26-D26</f>
        <v>-3.4924596548080444E-10</v>
      </c>
    </row>
    <row r="27" spans="1:31">
      <c r="A27" s="58" t="s">
        <v>70</v>
      </c>
      <c r="B27" s="59" t="s">
        <v>481</v>
      </c>
      <c r="C27" s="63">
        <v>171171.01086543099</v>
      </c>
      <c r="D27" s="68">
        <f t="shared" si="11"/>
        <v>99960.117596864176</v>
      </c>
      <c r="E27" s="69">
        <f>'[10]Прил 9 коррект'!BU52</f>
        <v>0</v>
      </c>
      <c r="F27" s="69">
        <f>'[10]Прил 9 коррект'!BV52</f>
        <v>0</v>
      </c>
      <c r="G27" s="69">
        <f>'[10]Прил 9 коррект'!BW52</f>
        <v>5341.5634099999997</v>
      </c>
      <c r="H27" s="69">
        <f>'[10]Прил 9 коррект'!BX52</f>
        <v>0</v>
      </c>
      <c r="I27" s="69">
        <f>'[10]Прил 9 коррект'!CA52</f>
        <v>0</v>
      </c>
      <c r="J27" s="69">
        <f>'[10]Прил 9 коррект'!CD52</f>
        <v>0</v>
      </c>
      <c r="K27" s="69">
        <f>'[10]Прил 9 коррект'!CG52</f>
        <v>0</v>
      </c>
      <c r="L27" s="69">
        <f>'[10]Прил 9 коррект'!CJ52</f>
        <v>0</v>
      </c>
      <c r="M27" s="69">
        <f>'[10]Прил 9 коррект'!CM52</f>
        <v>0</v>
      </c>
      <c r="N27" s="69">
        <f>'[10]Прил 9 коррект'!CP52</f>
        <v>0</v>
      </c>
      <c r="O27" s="69">
        <f>'[10]Прил 9 коррект'!CS52</f>
        <v>0</v>
      </c>
      <c r="P27" s="69">
        <f>'[10]Прил 9 коррект'!CV52</f>
        <v>2392.2757607365002</v>
      </c>
      <c r="Q27" s="69">
        <f>'[10]Прил 9 коррект'!CY52</f>
        <v>19913.3752141064</v>
      </c>
      <c r="R27" s="69">
        <f>'[10]Прил 9 коррект'!DB52</f>
        <v>18055.5906879096</v>
      </c>
      <c r="S27" s="69">
        <f>'[10]Прил 9 коррект'!DE52</f>
        <v>14678.045698660901</v>
      </c>
      <c r="T27" s="69">
        <f>'[10]Прил 9 коррект'!DH52</f>
        <v>13055.3701304273</v>
      </c>
      <c r="U27" s="69">
        <f>'[10]Прил 9 коррект'!DK52</f>
        <v>11421.740805073099</v>
      </c>
      <c r="V27" s="69">
        <f>'[10]Прил 9 коррект'!DN52</f>
        <v>9740.5490934657391</v>
      </c>
      <c r="W27" s="69">
        <f>'[10]Прил 9 коррект'!DQ52</f>
        <v>4126.3967964846697</v>
      </c>
      <c r="X27" s="69">
        <f>'[10]Прил 9 коррект'!DT52</f>
        <v>1235.20999999996</v>
      </c>
      <c r="Y27" s="69">
        <f>'[10]Прил 9 коррект'!DW52</f>
        <v>0</v>
      </c>
      <c r="Z27" s="69">
        <f>'[10]Прил 9 коррект'!DZ52</f>
        <v>0</v>
      </c>
      <c r="AA27" s="69">
        <f>'[10]Прил 9 коррект'!EC52</f>
        <v>0</v>
      </c>
      <c r="AB27" s="69">
        <f>'[10]Прил 9 коррект'!EF52</f>
        <v>0</v>
      </c>
      <c r="AC27" s="90">
        <f>'[10]Прил 9 коррект'!BT52</f>
        <v>99960.117596864206</v>
      </c>
      <c r="AD27" s="90">
        <f t="shared" si="14"/>
        <v>0</v>
      </c>
      <c r="AE27" s="35"/>
    </row>
    <row r="28" spans="1:31">
      <c r="A28" s="58" t="s">
        <v>486</v>
      </c>
      <c r="B28" s="59" t="s">
        <v>475</v>
      </c>
      <c r="C28" s="63">
        <v>37572.4748658561</v>
      </c>
      <c r="D28" s="65">
        <f t="shared" si="11"/>
        <v>30191.217865983817</v>
      </c>
      <c r="E28" s="70">
        <f>'[10]Прил 9 коррект'!BU54+'[10]Прил 9 коррект'!BU49</f>
        <v>307.87699730586297</v>
      </c>
      <c r="F28" s="70">
        <f>'[10]Прил 9 коррект'!BV54+'[10]Прил 9 коррект'!BV49</f>
        <v>4002.0456093231301</v>
      </c>
      <c r="G28" s="70">
        <f>'[10]Прил 9 коррект'!BW54+'[10]Прил 9 коррект'!BW49</f>
        <v>4397.0450952965903</v>
      </c>
      <c r="H28" s="62">
        <f>'[10]Прил 9 коррект'!BX54+'[10]Прил 9 коррект'!BX49</f>
        <v>4217.316675</v>
      </c>
      <c r="I28" s="62">
        <f>'[10]Прил 9 коррект'!CA54+'[10]Прил 9 коррект'!CA49</f>
        <v>223.55935775066999</v>
      </c>
      <c r="J28" s="62">
        <f>'[10]Прил 9 коррект'!CD54+'[10]Прил 9 коррект'!CD49</f>
        <v>2226.9452508320201</v>
      </c>
      <c r="K28" s="62">
        <f>'[10]Прил 9 коррект'!CG54+'[10]Прил 9 коррект'!CG49</f>
        <v>2911.6665502985402</v>
      </c>
      <c r="L28" s="62">
        <f>'[10]Прил 9 коррект'!CJ54+'[10]Прил 9 коррект'!CJ49</f>
        <v>3828.4240482167311</v>
      </c>
      <c r="M28" s="62">
        <f>'[10]Прил 9 коррект'!CM54+'[10]Прил 9 коррект'!CM49</f>
        <v>3244.1882538314098</v>
      </c>
      <c r="N28" s="62">
        <f>'[10]Прил 9 коррект'!CP54+'[10]Прил 9 коррект'!CP49</f>
        <v>2174.6178944019198</v>
      </c>
      <c r="O28" s="62">
        <f>'[10]Прил 9 коррект'!CS54+'[10]Прил 9 коррект'!CS49</f>
        <v>1502.0833799326199</v>
      </c>
      <c r="P28" s="62">
        <f>'[10]Прил 9 коррект'!CV54+'[10]Прил 9 коррект'!CV49</f>
        <v>1039.90387841489</v>
      </c>
      <c r="Q28" s="62">
        <f>'[10]Прил 9 коррект'!CY54+'[10]Прил 9 коррект'!CY49</f>
        <v>115.544875379432</v>
      </c>
      <c r="R28" s="62">
        <f>'[10]Прил 9 коррект'!DB54+'[10]Прил 9 коррект'!DB49</f>
        <v>0</v>
      </c>
      <c r="S28" s="62">
        <f>'[10]Прил 9 коррект'!DE54+'[10]Прил 9 коррект'!DE49</f>
        <v>0</v>
      </c>
      <c r="T28" s="62">
        <f>'[10]Прил 9 коррект'!DH54+'[10]Прил 9 коррект'!DH49</f>
        <v>0</v>
      </c>
      <c r="U28" s="62">
        <f>'[10]Прил 9 коррект'!DK54+'[10]Прил 9 коррект'!DK49</f>
        <v>0</v>
      </c>
      <c r="V28" s="62">
        <f>'[10]Прил 9 коррект'!DN54+'[10]Прил 9 коррект'!DN49</f>
        <v>0</v>
      </c>
      <c r="W28" s="62">
        <f>'[10]Прил 9 коррект'!DQ54+'[10]Прил 9 коррект'!DQ49</f>
        <v>0</v>
      </c>
      <c r="X28" s="62">
        <f>'[10]Прил 9 коррект'!DT54+'[10]Прил 9 коррект'!DT49</f>
        <v>0</v>
      </c>
      <c r="Y28" s="62">
        <f>'[10]Прил 9 коррект'!DW54+'[10]Прил 9 коррект'!DW49</f>
        <v>0</v>
      </c>
      <c r="Z28" s="62">
        <f>'[10]Прил 9 коррект'!DZ54+'[10]Прил 9 коррект'!DZ49</f>
        <v>0</v>
      </c>
      <c r="AA28" s="62">
        <f>'[10]Прил 9 коррект'!EC54+'[10]Прил 9 коррект'!EC49</f>
        <v>0</v>
      </c>
      <c r="AB28" s="62">
        <f>'[10]Прил 9 коррект'!EF54+'[10]Прил 9 коррект'!EF49</f>
        <v>0</v>
      </c>
      <c r="AC28" s="91">
        <f>'[10]Прил 9 коррект'!BT49+'[10]Прил 9 коррект'!BT54</f>
        <v>30191.217865983803</v>
      </c>
      <c r="AD28" s="90">
        <f t="shared" si="14"/>
        <v>0</v>
      </c>
    </row>
    <row r="29" spans="1:31" ht="30">
      <c r="A29" s="58" t="s">
        <v>487</v>
      </c>
      <c r="B29" s="59" t="s">
        <v>484</v>
      </c>
      <c r="C29" s="63">
        <v>32296.67</v>
      </c>
      <c r="D29" s="65">
        <f t="shared" si="11"/>
        <v>70869.415957452729</v>
      </c>
      <c r="E29" s="70">
        <f>'[10]Прил 9 коррект'!BU48+'[10]Прил 9 коррект'!BU53</f>
        <v>2186.7867760377299</v>
      </c>
      <c r="F29" s="70">
        <f>'[10]Прил 9 коррект'!BV48+'[10]Прил 9 коррект'!BV53</f>
        <v>10494.030882284909</v>
      </c>
      <c r="G29" s="70">
        <f>'[10]Прил 9 коррект'!BW48+'[10]Прил 9 коррект'!BW53</f>
        <v>3329.2761426882398</v>
      </c>
      <c r="H29" s="70">
        <f>'[10]Прил 9 коррект'!BX48+'[10]Прил 9 коррект'!BX53</f>
        <v>1991.0670877177299</v>
      </c>
      <c r="I29" s="70">
        <f>'[10]Прил 9 коррект'!CA48+'[10]Прил 9 коррект'!CA53</f>
        <v>2209.9276532731201</v>
      </c>
      <c r="J29" s="62">
        <f>'[10]Прил 9 коррект'!CD48+'[10]Прил 9 коррект'!CD53</f>
        <v>3121.8816546127791</v>
      </c>
      <c r="K29" s="62">
        <f>'[10]Прил 9 коррект'!CG48+'[10]Прил 9 коррект'!CG53</f>
        <v>4745.2907975663002</v>
      </c>
      <c r="L29" s="62">
        <f>'[10]Прил 9 коррект'!CJ48+'[10]Прил 9 коррект'!CJ53</f>
        <v>7259.9049122737697</v>
      </c>
      <c r="M29" s="62">
        <f>'[10]Прил 9 коррект'!CM48+'[10]Прил 9 коррект'!CM53</f>
        <v>8057.1731154733407</v>
      </c>
      <c r="N29" s="62">
        <f>'[10]Прил 9 коррект'!CP48+'[10]Прил 9 коррект'!CP53</f>
        <v>8539.2458275877107</v>
      </c>
      <c r="O29" s="62">
        <f>'[10]Прил 9 коррект'!CS48+'[10]Прил 9 коррект'!CS53</f>
        <v>7988.4744930434799</v>
      </c>
      <c r="P29" s="62">
        <f>'[10]Прил 9 коррект'!CV48+'[10]Прил 9 коррект'!CV53</f>
        <v>9730.0947687943208</v>
      </c>
      <c r="Q29" s="62">
        <f>'[10]Прил 9 коррект'!CY48+'[10]Прил 9 коррект'!CY53</f>
        <v>1216.2618460992901</v>
      </c>
      <c r="R29" s="62">
        <f>'[10]Прил 9 коррект'!DB48+'[10]Прил 9 коррект'!DB53</f>
        <v>0</v>
      </c>
      <c r="S29" s="62">
        <f>'[10]Прил 9 коррект'!DE48+'[10]Прил 9 коррект'!DE53</f>
        <v>0</v>
      </c>
      <c r="T29" s="62">
        <f>'[10]Прил 9 коррект'!DH48+'[10]Прил 9 коррект'!DH53</f>
        <v>0</v>
      </c>
      <c r="U29" s="62">
        <f>'[10]Прил 9 коррект'!DK48+'[10]Прил 9 коррект'!DK53</f>
        <v>0</v>
      </c>
      <c r="V29" s="62">
        <f>'[10]Прил 9 коррект'!DN48+'[10]Прил 9 коррект'!DN53</f>
        <v>0</v>
      </c>
      <c r="W29" s="62">
        <f>'[10]Прил 9 коррект'!DQ48+'[10]Прил 9 коррект'!DQ53</f>
        <v>0</v>
      </c>
      <c r="X29" s="62">
        <f>'[10]Прил 9 коррект'!DT48+'[10]Прил 9 коррект'!DT53</f>
        <v>0</v>
      </c>
      <c r="Y29" s="62">
        <f>'[10]Прил 9 коррект'!DW48+'[10]Прил 9 коррект'!DW53</f>
        <v>0</v>
      </c>
      <c r="Z29" s="62">
        <f>'[10]Прил 9 коррект'!DZ48+'[10]Прил 9 коррект'!DZ53</f>
        <v>0</v>
      </c>
      <c r="AA29" s="62">
        <f>'[10]Прил 9 коррект'!EC48+'[10]Прил 9 коррект'!EC53</f>
        <v>0</v>
      </c>
      <c r="AB29" s="62">
        <f>'[10]Прил 9 коррект'!EF48+'[10]Прил 9 коррект'!EF53</f>
        <v>0</v>
      </c>
      <c r="AC29" s="91">
        <f>'[10]Прил 9 коррект'!BT48+'[10]Прил 9 коррект'!BT53</f>
        <v>70869.4159574527</v>
      </c>
      <c r="AD29" s="90">
        <f t="shared" si="14"/>
        <v>0</v>
      </c>
    </row>
    <row r="30" spans="1:31">
      <c r="A30" s="58" t="s">
        <v>139</v>
      </c>
      <c r="B30" s="59" t="s">
        <v>485</v>
      </c>
      <c r="C30" s="63">
        <v>32296.67</v>
      </c>
      <c r="D30" s="61">
        <f t="shared" si="11"/>
        <v>70869.419287452678</v>
      </c>
      <c r="E30" s="62">
        <v>34080.639069999997</v>
      </c>
      <c r="F30" s="62">
        <v>4251.4691899999998</v>
      </c>
      <c r="G30" s="62">
        <v>45.92</v>
      </c>
      <c r="H30" s="62">
        <v>0</v>
      </c>
      <c r="I30" s="62">
        <v>0</v>
      </c>
      <c r="J30" s="84">
        <f t="shared" ref="J30:L30" si="15">J61</f>
        <v>7174.2846643210833</v>
      </c>
      <c r="K30" s="84">
        <f t="shared" si="15"/>
        <v>10552.74888492639</v>
      </c>
      <c r="L30" s="84">
        <f t="shared" si="15"/>
        <v>14764.357478205215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90"/>
      <c r="AD30" s="35"/>
    </row>
    <row r="31" spans="1:31" ht="28.5">
      <c r="A31" s="46" t="s">
        <v>348</v>
      </c>
      <c r="B31" s="54" t="s">
        <v>473</v>
      </c>
      <c r="C31" s="55">
        <f t="shared" ref="C31:AB31" si="16">C8+C20</f>
        <v>1185199.387608048</v>
      </c>
      <c r="D31" s="56">
        <f t="shared" si="16"/>
        <v>1235104.7357398514</v>
      </c>
      <c r="E31" s="72">
        <f t="shared" si="16"/>
        <v>147427.31498050847</v>
      </c>
      <c r="F31" s="72">
        <f t="shared" si="16"/>
        <v>24774.89644016949</v>
      </c>
      <c r="G31" s="72">
        <f t="shared" si="16"/>
        <v>40408.04876666666</v>
      </c>
      <c r="H31" s="72">
        <f t="shared" si="16"/>
        <v>28424.62013333333</v>
      </c>
      <c r="I31" s="72">
        <f t="shared" si="16"/>
        <v>25224.31616510274</v>
      </c>
      <c r="J31" s="72">
        <f t="shared" si="16"/>
        <v>52366.270065997043</v>
      </c>
      <c r="K31" s="72">
        <f t="shared" si="16"/>
        <v>59516.629005147748</v>
      </c>
      <c r="L31" s="72">
        <f t="shared" si="16"/>
        <v>66976.758643382316</v>
      </c>
      <c r="M31" s="72">
        <f t="shared" si="16"/>
        <v>22022.881405330067</v>
      </c>
      <c r="N31" s="72">
        <f t="shared" si="16"/>
        <v>24944.123399484917</v>
      </c>
      <c r="O31" s="72">
        <f t="shared" si="16"/>
        <v>33934.632371039159</v>
      </c>
      <c r="P31" s="72">
        <f t="shared" si="16"/>
        <v>48667.276335807896</v>
      </c>
      <c r="Q31" s="72">
        <f t="shared" si="16"/>
        <v>80031.114808334707</v>
      </c>
      <c r="R31" s="72">
        <f t="shared" si="16"/>
        <v>76285.982803746301</v>
      </c>
      <c r="S31" s="72">
        <f t="shared" si="16"/>
        <v>68411.142475453002</v>
      </c>
      <c r="T31" s="72">
        <f t="shared" si="16"/>
        <v>64614.9713100144</v>
      </c>
      <c r="U31" s="72">
        <f t="shared" si="16"/>
        <v>60784.989794218403</v>
      </c>
      <c r="V31" s="72">
        <f t="shared" si="16"/>
        <v>56828.65381499377</v>
      </c>
      <c r="W31" s="72">
        <f t="shared" si="16"/>
        <v>44808.569570630672</v>
      </c>
      <c r="X31" s="72">
        <f t="shared" si="16"/>
        <v>45922.852353906055</v>
      </c>
      <c r="Y31" s="72">
        <f t="shared" si="16"/>
        <v>40682.172774145998</v>
      </c>
      <c r="Z31" s="72">
        <f t="shared" si="16"/>
        <v>40682.172774145998</v>
      </c>
      <c r="AA31" s="72">
        <f t="shared" si="16"/>
        <v>40682.172774145998</v>
      </c>
      <c r="AB31" s="72">
        <f t="shared" si="16"/>
        <v>40682.172774145998</v>
      </c>
      <c r="AC31" s="89"/>
      <c r="AD31" s="35"/>
    </row>
    <row r="32" spans="1:31">
      <c r="A32" s="58" t="s">
        <v>76</v>
      </c>
      <c r="B32" s="59" t="s">
        <v>474</v>
      </c>
      <c r="C32" s="60">
        <f t="shared" ref="C32:AB32" si="17">C9+C21</f>
        <v>969199.36629490601</v>
      </c>
      <c r="D32" s="61">
        <f t="shared" si="17"/>
        <v>1131928.0573914906</v>
      </c>
      <c r="E32" s="73">
        <f t="shared" si="17"/>
        <v>146234.18215000001</v>
      </c>
      <c r="F32" s="73">
        <f t="shared" si="17"/>
        <v>14130.639329999998</v>
      </c>
      <c r="G32" s="73">
        <f t="shared" si="17"/>
        <v>29339.79</v>
      </c>
      <c r="H32" s="73">
        <f t="shared" si="17"/>
        <v>18383.39</v>
      </c>
      <c r="I32" s="73">
        <f t="shared" si="17"/>
        <v>16797.12432986161</v>
      </c>
      <c r="J32" s="73">
        <f t="shared" si="17"/>
        <v>43028.63</v>
      </c>
      <c r="K32" s="73">
        <f t="shared" si="17"/>
        <v>48474.825652946602</v>
      </c>
      <c r="L32" s="73">
        <f t="shared" si="17"/>
        <v>53516.240214971433</v>
      </c>
      <c r="M32" s="73">
        <f t="shared" si="17"/>
        <v>10753.94191585821</v>
      </c>
      <c r="N32" s="73">
        <f t="shared" si="17"/>
        <v>16773.208304490799</v>
      </c>
      <c r="O32" s="73">
        <f t="shared" si="17"/>
        <v>28968.010063215799</v>
      </c>
      <c r="P32" s="73">
        <f t="shared" si="17"/>
        <v>45466.724295618995</v>
      </c>
      <c r="Q32" s="73">
        <f t="shared" si="17"/>
        <v>79675.497914980398</v>
      </c>
      <c r="R32" s="73">
        <f t="shared" si="17"/>
        <v>76285.982803746301</v>
      </c>
      <c r="S32" s="73">
        <f t="shared" si="17"/>
        <v>68411.142475453002</v>
      </c>
      <c r="T32" s="73">
        <f t="shared" si="17"/>
        <v>64614.9713100144</v>
      </c>
      <c r="U32" s="73">
        <f t="shared" si="17"/>
        <v>60784.989794218403</v>
      </c>
      <c r="V32" s="73">
        <f t="shared" si="17"/>
        <v>56828.65381499377</v>
      </c>
      <c r="W32" s="73">
        <f t="shared" si="17"/>
        <v>44808.569570630672</v>
      </c>
      <c r="X32" s="73">
        <f t="shared" si="17"/>
        <v>45922.852353906055</v>
      </c>
      <c r="Y32" s="73">
        <f t="shared" si="17"/>
        <v>40682.172774145998</v>
      </c>
      <c r="Z32" s="73">
        <f t="shared" si="17"/>
        <v>40682.172774145998</v>
      </c>
      <c r="AA32" s="73">
        <f t="shared" si="17"/>
        <v>40682.172774145998</v>
      </c>
      <c r="AB32" s="73">
        <f t="shared" si="17"/>
        <v>40682.172774145998</v>
      </c>
      <c r="AC32" s="90"/>
      <c r="AD32" s="35"/>
      <c r="AE32" s="92"/>
    </row>
    <row r="33" spans="1:32">
      <c r="A33" s="58" t="s">
        <v>82</v>
      </c>
      <c r="B33" s="59" t="s">
        <v>475</v>
      </c>
      <c r="C33" s="63">
        <f t="shared" ref="C33:AB33" si="18">C10+C22</f>
        <v>216000.02131314209</v>
      </c>
      <c r="D33" s="61">
        <f t="shared" si="18"/>
        <v>103176.67834836073</v>
      </c>
      <c r="E33" s="73">
        <f t="shared" si="18"/>
        <v>1193.1328305084739</v>
      </c>
      <c r="F33" s="73">
        <f t="shared" si="18"/>
        <v>10644.25711016949</v>
      </c>
      <c r="G33" s="73">
        <f t="shared" si="18"/>
        <v>11068.25876666666</v>
      </c>
      <c r="H33" s="73">
        <f t="shared" si="18"/>
        <v>10041.230133333331</v>
      </c>
      <c r="I33" s="73">
        <f t="shared" si="18"/>
        <v>8427.1918352411303</v>
      </c>
      <c r="J33" s="73">
        <f t="shared" si="18"/>
        <v>9337.6400659970404</v>
      </c>
      <c r="K33" s="73">
        <f t="shared" si="18"/>
        <v>11041.80335220115</v>
      </c>
      <c r="L33" s="73">
        <f t="shared" si="18"/>
        <v>13460.518428410882</v>
      </c>
      <c r="M33" s="73">
        <f t="shared" si="18"/>
        <v>11268.939489471859</v>
      </c>
      <c r="N33" s="73">
        <f t="shared" si="18"/>
        <v>8170.9150949941195</v>
      </c>
      <c r="O33" s="73">
        <f t="shared" si="18"/>
        <v>4966.6223078233597</v>
      </c>
      <c r="P33" s="73">
        <f t="shared" si="18"/>
        <v>3200.5520401888998</v>
      </c>
      <c r="Q33" s="73">
        <f t="shared" si="18"/>
        <v>355.61689335432197</v>
      </c>
      <c r="R33" s="73">
        <f t="shared" si="18"/>
        <v>0</v>
      </c>
      <c r="S33" s="73">
        <f t="shared" si="18"/>
        <v>0</v>
      </c>
      <c r="T33" s="73">
        <f t="shared" si="18"/>
        <v>0</v>
      </c>
      <c r="U33" s="73">
        <f t="shared" si="18"/>
        <v>0</v>
      </c>
      <c r="V33" s="73">
        <f t="shared" si="18"/>
        <v>0</v>
      </c>
      <c r="W33" s="73">
        <f t="shared" si="18"/>
        <v>0</v>
      </c>
      <c r="X33" s="73">
        <f t="shared" si="18"/>
        <v>0</v>
      </c>
      <c r="Y33" s="73">
        <f t="shared" si="18"/>
        <v>0</v>
      </c>
      <c r="Z33" s="73">
        <f t="shared" si="18"/>
        <v>0</v>
      </c>
      <c r="AA33" s="73">
        <f t="shared" si="18"/>
        <v>0</v>
      </c>
      <c r="AB33" s="73">
        <f t="shared" si="18"/>
        <v>0</v>
      </c>
      <c r="AC33" s="90"/>
      <c r="AD33" s="35"/>
    </row>
    <row r="34" spans="1:32">
      <c r="A34" s="58" t="s">
        <v>90</v>
      </c>
      <c r="B34" s="59" t="s">
        <v>476</v>
      </c>
      <c r="C34" s="63">
        <f t="shared" ref="C34:AB34" si="19">C11+C23</f>
        <v>0</v>
      </c>
      <c r="D34" s="61">
        <f t="shared" si="19"/>
        <v>0</v>
      </c>
      <c r="E34" s="73">
        <f t="shared" si="19"/>
        <v>0</v>
      </c>
      <c r="F34" s="73">
        <f t="shared" si="19"/>
        <v>0</v>
      </c>
      <c r="G34" s="73">
        <f t="shared" si="19"/>
        <v>0</v>
      </c>
      <c r="H34" s="73">
        <f t="shared" si="19"/>
        <v>0</v>
      </c>
      <c r="I34" s="73">
        <f t="shared" si="19"/>
        <v>0</v>
      </c>
      <c r="J34" s="73">
        <f t="shared" si="19"/>
        <v>0</v>
      </c>
      <c r="K34" s="73">
        <f t="shared" si="19"/>
        <v>0</v>
      </c>
      <c r="L34" s="73">
        <f t="shared" si="19"/>
        <v>0</v>
      </c>
      <c r="M34" s="73">
        <f t="shared" si="19"/>
        <v>0</v>
      </c>
      <c r="N34" s="73">
        <f t="shared" si="19"/>
        <v>0</v>
      </c>
      <c r="O34" s="73">
        <f t="shared" si="19"/>
        <v>0</v>
      </c>
      <c r="P34" s="73">
        <f t="shared" si="19"/>
        <v>0</v>
      </c>
      <c r="Q34" s="73">
        <f t="shared" si="19"/>
        <v>0</v>
      </c>
      <c r="R34" s="73">
        <f t="shared" si="19"/>
        <v>0</v>
      </c>
      <c r="S34" s="73">
        <f t="shared" si="19"/>
        <v>0</v>
      </c>
      <c r="T34" s="73">
        <f t="shared" si="19"/>
        <v>0</v>
      </c>
      <c r="U34" s="73">
        <f t="shared" si="19"/>
        <v>0</v>
      </c>
      <c r="V34" s="73">
        <f t="shared" si="19"/>
        <v>0</v>
      </c>
      <c r="W34" s="73">
        <f t="shared" si="19"/>
        <v>0</v>
      </c>
      <c r="X34" s="73">
        <f t="shared" si="19"/>
        <v>0</v>
      </c>
      <c r="Y34" s="73">
        <f t="shared" si="19"/>
        <v>0</v>
      </c>
      <c r="Z34" s="73">
        <f t="shared" si="19"/>
        <v>0</v>
      </c>
      <c r="AA34" s="73">
        <f t="shared" si="19"/>
        <v>0</v>
      </c>
      <c r="AB34" s="73">
        <f t="shared" si="19"/>
        <v>0</v>
      </c>
      <c r="AC34" s="90"/>
      <c r="AD34" s="35"/>
    </row>
    <row r="35" spans="1:32" ht="42.75">
      <c r="A35" s="46" t="s">
        <v>153</v>
      </c>
      <c r="B35" s="54" t="s">
        <v>477</v>
      </c>
      <c r="C35" s="55">
        <f t="shared" ref="C35:AB35" si="20">C12+C24</f>
        <v>1370869.387608048</v>
      </c>
      <c r="D35" s="56">
        <f t="shared" si="20"/>
        <v>1481505.4458398514</v>
      </c>
      <c r="E35" s="72">
        <f t="shared" si="20"/>
        <v>155901.89125169491</v>
      </c>
      <c r="F35" s="72">
        <f t="shared" si="20"/>
        <v>52685.913389322042</v>
      </c>
      <c r="G35" s="72">
        <f t="shared" si="20"/>
        <v>48788.515433333334</v>
      </c>
      <c r="H35" s="72">
        <f t="shared" si="20"/>
        <v>37546.753466666654</v>
      </c>
      <c r="I35" s="72">
        <f t="shared" si="20"/>
        <v>35164.7828317694</v>
      </c>
      <c r="J35" s="72">
        <f t="shared" si="20"/>
        <v>65271.790263803108</v>
      </c>
      <c r="K35" s="72">
        <f t="shared" si="20"/>
        <v>77596.183699709451</v>
      </c>
      <c r="L35" s="72">
        <f t="shared" si="20"/>
        <v>92988.866974445002</v>
      </c>
      <c r="M35" s="72">
        <f t="shared" si="20"/>
        <v>50609.190950073506</v>
      </c>
      <c r="N35" s="72">
        <f t="shared" si="20"/>
        <v>55332.932944228334</v>
      </c>
      <c r="O35" s="72">
        <f t="shared" si="20"/>
        <v>62338.283582449221</v>
      </c>
      <c r="P35" s="72">
        <f t="shared" si="20"/>
        <v>83120.037304955826</v>
      </c>
      <c r="Q35" s="72">
        <f t="shared" si="20"/>
        <v>83774.450527853885</v>
      </c>
      <c r="R35" s="72">
        <f t="shared" si="20"/>
        <v>76285.982803746301</v>
      </c>
      <c r="S35" s="72">
        <f t="shared" si="20"/>
        <v>68411.142475453002</v>
      </c>
      <c r="T35" s="72">
        <f t="shared" si="20"/>
        <v>64614.9713100144</v>
      </c>
      <c r="U35" s="72">
        <f t="shared" si="20"/>
        <v>60784.989794218403</v>
      </c>
      <c r="V35" s="72">
        <f t="shared" si="20"/>
        <v>56828.65381499377</v>
      </c>
      <c r="W35" s="72">
        <f t="shared" si="20"/>
        <v>44808.569570630672</v>
      </c>
      <c r="X35" s="72">
        <f t="shared" si="20"/>
        <v>45922.852353906055</v>
      </c>
      <c r="Y35" s="72">
        <f t="shared" si="20"/>
        <v>40682.172774145998</v>
      </c>
      <c r="Z35" s="72">
        <f t="shared" si="20"/>
        <v>40682.172774145998</v>
      </c>
      <c r="AA35" s="72">
        <f t="shared" si="20"/>
        <v>40682.172774145998</v>
      </c>
      <c r="AB35" s="72">
        <f t="shared" si="20"/>
        <v>40682.172774145998</v>
      </c>
      <c r="AC35" s="89"/>
      <c r="AD35" s="35"/>
    </row>
    <row r="36" spans="1:32">
      <c r="A36" s="58" t="s">
        <v>156</v>
      </c>
      <c r="B36" s="59" t="s">
        <v>478</v>
      </c>
      <c r="C36" s="63">
        <f t="shared" ref="C36:AB36" si="21">C13+C25</f>
        <v>1185199.387608048</v>
      </c>
      <c r="D36" s="65">
        <f t="shared" si="21"/>
        <v>1235104.7357398514</v>
      </c>
      <c r="E36" s="73">
        <f t="shared" si="21"/>
        <v>20917.956181694903</v>
      </c>
      <c r="F36" s="73">
        <f t="shared" si="21"/>
        <v>41384.728359322042</v>
      </c>
      <c r="G36" s="73">
        <f t="shared" si="21"/>
        <v>48672.925433333337</v>
      </c>
      <c r="H36" s="73">
        <f t="shared" si="21"/>
        <v>37546.753466666654</v>
      </c>
      <c r="I36" s="73">
        <f t="shared" si="21"/>
        <v>35164.7828317694</v>
      </c>
      <c r="J36" s="73">
        <f t="shared" si="21"/>
        <v>43191.219264982617</v>
      </c>
      <c r="K36" s="73">
        <f t="shared" si="21"/>
        <v>45117.583826868853</v>
      </c>
      <c r="L36" s="73">
        <f t="shared" si="21"/>
        <v>47548.037846106083</v>
      </c>
      <c r="M36" s="73">
        <f t="shared" si="21"/>
        <v>50609.190950073506</v>
      </c>
      <c r="N36" s="73">
        <f t="shared" si="21"/>
        <v>55332.932944228334</v>
      </c>
      <c r="O36" s="73">
        <f t="shared" si="21"/>
        <v>62338.283582449221</v>
      </c>
      <c r="P36" s="73">
        <f t="shared" si="21"/>
        <v>83120.037304955826</v>
      </c>
      <c r="Q36" s="73">
        <f t="shared" si="21"/>
        <v>83774.450527853885</v>
      </c>
      <c r="R36" s="73">
        <f t="shared" si="21"/>
        <v>76285.982803746301</v>
      </c>
      <c r="S36" s="73">
        <f t="shared" si="21"/>
        <v>68411.142475453002</v>
      </c>
      <c r="T36" s="73">
        <f t="shared" si="21"/>
        <v>64614.9713100144</v>
      </c>
      <c r="U36" s="73">
        <f t="shared" si="21"/>
        <v>60784.989794218403</v>
      </c>
      <c r="V36" s="73">
        <f t="shared" si="21"/>
        <v>56828.65381499377</v>
      </c>
      <c r="W36" s="73">
        <f t="shared" si="21"/>
        <v>44808.569570630672</v>
      </c>
      <c r="X36" s="73">
        <f t="shared" si="21"/>
        <v>45922.852353906055</v>
      </c>
      <c r="Y36" s="73">
        <f t="shared" si="21"/>
        <v>40682.172774145998</v>
      </c>
      <c r="Z36" s="73">
        <f t="shared" si="21"/>
        <v>40682.172774145998</v>
      </c>
      <c r="AA36" s="73">
        <f t="shared" si="21"/>
        <v>40682.172774145998</v>
      </c>
      <c r="AB36" s="73">
        <f t="shared" si="21"/>
        <v>40682.172774145998</v>
      </c>
      <c r="AC36" s="90"/>
      <c r="AD36" s="35"/>
    </row>
    <row r="37" spans="1:32">
      <c r="A37" s="58" t="s">
        <v>488</v>
      </c>
      <c r="B37" s="59" t="s">
        <v>421</v>
      </c>
      <c r="C37" s="63">
        <f t="shared" ref="C37:AB37" si="22">C14+C26</f>
        <v>367054.88730358903</v>
      </c>
      <c r="D37" s="66">
        <f t="shared" si="22"/>
        <v>703525.95451524248</v>
      </c>
      <c r="E37" s="74">
        <f t="shared" si="22"/>
        <v>11250.24707999999</v>
      </c>
      <c r="F37" s="74">
        <f t="shared" si="22"/>
        <v>2829.4542999999999</v>
      </c>
      <c r="G37" s="74">
        <f t="shared" si="22"/>
        <v>23882.636590000002</v>
      </c>
      <c r="H37" s="74">
        <f t="shared" si="22"/>
        <v>18383.39</v>
      </c>
      <c r="I37" s="74">
        <f t="shared" si="22"/>
        <v>16797.12432986161</v>
      </c>
      <c r="J37" s="74">
        <f t="shared" si="22"/>
        <v>20948.059001179499</v>
      </c>
      <c r="K37" s="74">
        <f t="shared" si="22"/>
        <v>15996.225780106</v>
      </c>
      <c r="L37" s="74">
        <f t="shared" si="22"/>
        <v>8075.41108663253</v>
      </c>
      <c r="M37" s="74">
        <f t="shared" si="22"/>
        <v>10753.94191585821</v>
      </c>
      <c r="N37" s="74">
        <f t="shared" si="22"/>
        <v>16773.208304490799</v>
      </c>
      <c r="O37" s="74">
        <f t="shared" si="22"/>
        <v>28968.010063215799</v>
      </c>
      <c r="P37" s="74">
        <f t="shared" si="22"/>
        <v>40682.172774145998</v>
      </c>
      <c r="Q37" s="74">
        <f t="shared" si="22"/>
        <v>40682.172774145998</v>
      </c>
      <c r="R37" s="74">
        <f t="shared" si="22"/>
        <v>40682.172774145998</v>
      </c>
      <c r="S37" s="74">
        <f t="shared" si="22"/>
        <v>40682.172774145998</v>
      </c>
      <c r="T37" s="74">
        <f t="shared" si="22"/>
        <v>40682.172774145998</v>
      </c>
      <c r="U37" s="74">
        <f t="shared" si="22"/>
        <v>40682.172774145998</v>
      </c>
      <c r="V37" s="74">
        <f t="shared" si="22"/>
        <v>40682.172774145998</v>
      </c>
      <c r="W37" s="74">
        <f t="shared" si="22"/>
        <v>40682.172774145998</v>
      </c>
      <c r="X37" s="74">
        <f t="shared" si="22"/>
        <v>40682.172774145998</v>
      </c>
      <c r="Y37" s="74">
        <f t="shared" si="22"/>
        <v>40682.172774145998</v>
      </c>
      <c r="Z37" s="74">
        <f t="shared" si="22"/>
        <v>40682.172774145998</v>
      </c>
      <c r="AA37" s="74">
        <f t="shared" si="22"/>
        <v>40682.172774145998</v>
      </c>
      <c r="AB37" s="74">
        <f t="shared" si="22"/>
        <v>40682.172774145998</v>
      </c>
      <c r="AC37" s="90">
        <f>'[10]Прил 9 коррект'!D46</f>
        <v>703525.95451524202</v>
      </c>
      <c r="AD37" s="90">
        <f t="shared" ref="AD37:AD40" si="23">AC37-D37</f>
        <v>0</v>
      </c>
    </row>
    <row r="38" spans="1:32">
      <c r="A38" s="58" t="s">
        <v>489</v>
      </c>
      <c r="B38" s="59" t="s">
        <v>481</v>
      </c>
      <c r="C38" s="63">
        <f t="shared" ref="C38:AB38" si="24">C15+C27</f>
        <v>416474.47899131698</v>
      </c>
      <c r="D38" s="68">
        <f t="shared" si="24"/>
        <v>182001.39277624805</v>
      </c>
      <c r="E38" s="75">
        <f t="shared" si="24"/>
        <v>0</v>
      </c>
      <c r="F38" s="75">
        <f t="shared" si="24"/>
        <v>0</v>
      </c>
      <c r="G38" s="75">
        <f t="shared" si="24"/>
        <v>5341.5634099999997</v>
      </c>
      <c r="H38" s="75">
        <f t="shared" si="24"/>
        <v>0</v>
      </c>
      <c r="I38" s="75">
        <f t="shared" si="24"/>
        <v>0</v>
      </c>
      <c r="J38" s="75">
        <f t="shared" si="24"/>
        <v>0</v>
      </c>
      <c r="K38" s="75">
        <f t="shared" si="24"/>
        <v>0</v>
      </c>
      <c r="L38" s="75">
        <f t="shared" si="24"/>
        <v>0</v>
      </c>
      <c r="M38" s="75">
        <f t="shared" si="24"/>
        <v>0</v>
      </c>
      <c r="N38" s="75">
        <f t="shared" si="24"/>
        <v>0</v>
      </c>
      <c r="O38" s="75">
        <f t="shared" si="24"/>
        <v>0</v>
      </c>
      <c r="P38" s="75">
        <f t="shared" si="24"/>
        <v>4784.5515214730003</v>
      </c>
      <c r="Q38" s="75">
        <f t="shared" si="24"/>
        <v>38993.3251408344</v>
      </c>
      <c r="R38" s="75">
        <f t="shared" si="24"/>
        <v>35603.810029600296</v>
      </c>
      <c r="S38" s="75">
        <f t="shared" si="24"/>
        <v>27728.969701307</v>
      </c>
      <c r="T38" s="75">
        <f t="shared" si="24"/>
        <v>23932.798535868402</v>
      </c>
      <c r="U38" s="75">
        <f t="shared" si="24"/>
        <v>20102.817020072409</v>
      </c>
      <c r="V38" s="75">
        <f t="shared" si="24"/>
        <v>16146.481040847768</v>
      </c>
      <c r="W38" s="75">
        <f t="shared" si="24"/>
        <v>4126.3967964846697</v>
      </c>
      <c r="X38" s="75">
        <f t="shared" si="24"/>
        <v>5240.6795797600598</v>
      </c>
      <c r="Y38" s="75">
        <f t="shared" si="24"/>
        <v>0</v>
      </c>
      <c r="Z38" s="75">
        <f t="shared" si="24"/>
        <v>0</v>
      </c>
      <c r="AA38" s="75">
        <f t="shared" si="24"/>
        <v>0</v>
      </c>
      <c r="AB38" s="75">
        <f t="shared" si="24"/>
        <v>0</v>
      </c>
      <c r="AC38" s="90">
        <f>'[10]Прил 9 коррект'!D52</f>
        <v>182001.39277624799</v>
      </c>
      <c r="AD38" s="90">
        <f t="shared" si="23"/>
        <v>0</v>
      </c>
    </row>
    <row r="39" spans="1:32">
      <c r="A39" s="58" t="s">
        <v>490</v>
      </c>
      <c r="B39" s="59" t="s">
        <v>475</v>
      </c>
      <c r="C39" s="63">
        <f t="shared" ref="C39:AB39" si="25">C16+C28</f>
        <v>216000.02131314209</v>
      </c>
      <c r="D39" s="65">
        <f t="shared" si="25"/>
        <v>103176.67834836073</v>
      </c>
      <c r="E39" s="73">
        <f t="shared" si="25"/>
        <v>1193.1328305084739</v>
      </c>
      <c r="F39" s="73">
        <f t="shared" si="25"/>
        <v>10644.25711016949</v>
      </c>
      <c r="G39" s="73">
        <f t="shared" si="25"/>
        <v>11068.25876666666</v>
      </c>
      <c r="H39" s="73">
        <f t="shared" si="25"/>
        <v>10041.230133333331</v>
      </c>
      <c r="I39" s="73">
        <f t="shared" si="25"/>
        <v>8427.1918352411303</v>
      </c>
      <c r="J39" s="73">
        <f t="shared" si="25"/>
        <v>9337.6400659970404</v>
      </c>
      <c r="K39" s="73">
        <f t="shared" si="25"/>
        <v>11041.80335220115</v>
      </c>
      <c r="L39" s="73">
        <f t="shared" si="25"/>
        <v>13460.518428410882</v>
      </c>
      <c r="M39" s="73">
        <f t="shared" si="25"/>
        <v>11268.939489471859</v>
      </c>
      <c r="N39" s="73">
        <f t="shared" si="25"/>
        <v>8170.9150949941195</v>
      </c>
      <c r="O39" s="73">
        <f t="shared" si="25"/>
        <v>4966.6223078233597</v>
      </c>
      <c r="P39" s="73">
        <f t="shared" si="25"/>
        <v>3200.5520401888998</v>
      </c>
      <c r="Q39" s="73">
        <f t="shared" si="25"/>
        <v>355.61689335432197</v>
      </c>
      <c r="R39" s="73">
        <f t="shared" si="25"/>
        <v>0</v>
      </c>
      <c r="S39" s="73">
        <f t="shared" si="25"/>
        <v>0</v>
      </c>
      <c r="T39" s="73">
        <f t="shared" si="25"/>
        <v>0</v>
      </c>
      <c r="U39" s="73">
        <f t="shared" si="25"/>
        <v>0</v>
      </c>
      <c r="V39" s="73">
        <f t="shared" si="25"/>
        <v>0</v>
      </c>
      <c r="W39" s="73">
        <f t="shared" si="25"/>
        <v>0</v>
      </c>
      <c r="X39" s="73">
        <f t="shared" si="25"/>
        <v>0</v>
      </c>
      <c r="Y39" s="73">
        <f t="shared" si="25"/>
        <v>0</v>
      </c>
      <c r="Z39" s="73">
        <f t="shared" si="25"/>
        <v>0</v>
      </c>
      <c r="AA39" s="73">
        <f t="shared" si="25"/>
        <v>0</v>
      </c>
      <c r="AB39" s="73">
        <f t="shared" si="25"/>
        <v>0</v>
      </c>
      <c r="AC39" s="90">
        <f>'[10]Прил 9 коррект'!D49+'[10]Прил 9 коррект'!D54</f>
        <v>103176.6783483607</v>
      </c>
      <c r="AD39" s="90">
        <f t="shared" si="23"/>
        <v>0</v>
      </c>
      <c r="AE39" s="92"/>
      <c r="AF39" s="35"/>
    </row>
    <row r="40" spans="1:32" ht="30">
      <c r="A40" s="58" t="s">
        <v>491</v>
      </c>
      <c r="B40" s="59" t="s">
        <v>484</v>
      </c>
      <c r="C40" s="63">
        <f t="shared" ref="C40:AB40" si="26">C17+C29</f>
        <v>185670</v>
      </c>
      <c r="D40" s="61">
        <f t="shared" si="26"/>
        <v>246400.71010000014</v>
      </c>
      <c r="E40" s="73">
        <f t="shared" si="26"/>
        <v>8474.576271186439</v>
      </c>
      <c r="F40" s="73">
        <f t="shared" si="26"/>
        <v>27911.016949152552</v>
      </c>
      <c r="G40" s="73">
        <f t="shared" si="26"/>
        <v>8380.4666666666708</v>
      </c>
      <c r="H40" s="73">
        <f t="shared" si="26"/>
        <v>9122.1333333333296</v>
      </c>
      <c r="I40" s="73">
        <f t="shared" si="26"/>
        <v>9940.4666666666599</v>
      </c>
      <c r="J40" s="73">
        <f t="shared" si="26"/>
        <v>12905.52019780608</v>
      </c>
      <c r="K40" s="73">
        <f t="shared" si="26"/>
        <v>18079.554694561702</v>
      </c>
      <c r="L40" s="73">
        <f t="shared" si="26"/>
        <v>26012.108331062671</v>
      </c>
      <c r="M40" s="73">
        <f t="shared" si="26"/>
        <v>28586.309544743439</v>
      </c>
      <c r="N40" s="73">
        <f t="shared" si="26"/>
        <v>30388.80954474341</v>
      </c>
      <c r="O40" s="73">
        <f t="shared" si="26"/>
        <v>28403.651211410059</v>
      </c>
      <c r="P40" s="73">
        <f t="shared" si="26"/>
        <v>34452.760969147923</v>
      </c>
      <c r="Q40" s="73">
        <f t="shared" si="26"/>
        <v>3743.3357195191802</v>
      </c>
      <c r="R40" s="73">
        <f t="shared" si="26"/>
        <v>0</v>
      </c>
      <c r="S40" s="73">
        <f t="shared" si="26"/>
        <v>0</v>
      </c>
      <c r="T40" s="73">
        <f t="shared" si="26"/>
        <v>0</v>
      </c>
      <c r="U40" s="73">
        <f t="shared" si="26"/>
        <v>0</v>
      </c>
      <c r="V40" s="73">
        <f t="shared" si="26"/>
        <v>0</v>
      </c>
      <c r="W40" s="73">
        <f t="shared" si="26"/>
        <v>0</v>
      </c>
      <c r="X40" s="73">
        <f t="shared" si="26"/>
        <v>0</v>
      </c>
      <c r="Y40" s="73">
        <f t="shared" si="26"/>
        <v>0</v>
      </c>
      <c r="Z40" s="73">
        <f t="shared" si="26"/>
        <v>0</v>
      </c>
      <c r="AA40" s="73">
        <f t="shared" si="26"/>
        <v>0</v>
      </c>
      <c r="AB40" s="73">
        <f t="shared" si="26"/>
        <v>0</v>
      </c>
      <c r="AC40" s="90">
        <f>'[10]Прил 9 коррект'!D53+'[10]Прил 9 коррект'!D48</f>
        <v>246400.71009999979</v>
      </c>
      <c r="AD40" s="90">
        <f t="shared" si="23"/>
        <v>-3.4924596548080444E-10</v>
      </c>
      <c r="AE40" s="92"/>
      <c r="AF40" s="35"/>
    </row>
    <row r="41" spans="1:32">
      <c r="A41" s="58" t="s">
        <v>159</v>
      </c>
      <c r="B41" s="59" t="s">
        <v>485</v>
      </c>
      <c r="C41" s="63">
        <f t="shared" ref="C41:AB41" si="27">C18+C30</f>
        <v>185670</v>
      </c>
      <c r="D41" s="61">
        <f t="shared" si="27"/>
        <v>246400.71010000003</v>
      </c>
      <c r="E41" s="73">
        <f t="shared" si="27"/>
        <v>134983.93507000001</v>
      </c>
      <c r="F41" s="73">
        <f t="shared" si="27"/>
        <v>11301.185030000001</v>
      </c>
      <c r="G41" s="73">
        <f t="shared" si="27"/>
        <v>115.59</v>
      </c>
      <c r="H41" s="73">
        <f t="shared" si="27"/>
        <v>0</v>
      </c>
      <c r="I41" s="73">
        <f t="shared" si="27"/>
        <v>0</v>
      </c>
      <c r="J41" s="84">
        <f t="shared" si="27"/>
        <v>22080.570998820498</v>
      </c>
      <c r="K41" s="84">
        <f t="shared" si="27"/>
        <v>32478.599872840598</v>
      </c>
      <c r="L41" s="84">
        <f t="shared" si="27"/>
        <v>45440.829128338904</v>
      </c>
      <c r="M41" s="73">
        <f t="shared" si="27"/>
        <v>0</v>
      </c>
      <c r="N41" s="73">
        <f t="shared" si="27"/>
        <v>0</v>
      </c>
      <c r="O41" s="73">
        <f t="shared" si="27"/>
        <v>0</v>
      </c>
      <c r="P41" s="73">
        <f t="shared" si="27"/>
        <v>0</v>
      </c>
      <c r="Q41" s="73">
        <f t="shared" si="27"/>
        <v>0</v>
      </c>
      <c r="R41" s="73">
        <f t="shared" si="27"/>
        <v>0</v>
      </c>
      <c r="S41" s="73">
        <f t="shared" si="27"/>
        <v>0</v>
      </c>
      <c r="T41" s="73">
        <f t="shared" si="27"/>
        <v>0</v>
      </c>
      <c r="U41" s="73">
        <f t="shared" si="27"/>
        <v>0</v>
      </c>
      <c r="V41" s="73">
        <f t="shared" si="27"/>
        <v>0</v>
      </c>
      <c r="W41" s="73">
        <f t="shared" si="27"/>
        <v>0</v>
      </c>
      <c r="X41" s="73">
        <f t="shared" si="27"/>
        <v>0</v>
      </c>
      <c r="Y41" s="73">
        <f t="shared" si="27"/>
        <v>0</v>
      </c>
      <c r="Z41" s="73">
        <f t="shared" si="27"/>
        <v>0</v>
      </c>
      <c r="AA41" s="73">
        <f t="shared" si="27"/>
        <v>0</v>
      </c>
      <c r="AB41" s="73">
        <f t="shared" si="27"/>
        <v>0</v>
      </c>
      <c r="AC41" s="90"/>
      <c r="AD41" s="35"/>
      <c r="AE41" s="93"/>
      <c r="AF41" s="93"/>
    </row>
    <row r="42" spans="1:32"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35"/>
      <c r="Y42" s="35"/>
      <c r="Z42" s="35"/>
      <c r="AA42" s="35"/>
      <c r="AB42" s="35"/>
      <c r="AC42" s="94"/>
      <c r="AD42" s="35"/>
    </row>
    <row r="43" spans="1:32"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35"/>
      <c r="Y43" s="35"/>
      <c r="Z43" s="35"/>
      <c r="AA43" s="35"/>
      <c r="AB43" s="35"/>
      <c r="AC43" s="94"/>
      <c r="AD43" s="35"/>
    </row>
    <row r="44" spans="1:32" s="35" customFormat="1">
      <c r="A44" s="77"/>
      <c r="B44" s="77" t="s">
        <v>689</v>
      </c>
      <c r="C44" s="77">
        <f t="shared" ref="C44:AB44" si="28">C37+C38+C40</f>
        <v>969199.36629490601</v>
      </c>
      <c r="D44" s="77">
        <f t="shared" si="28"/>
        <v>1131928.0573914908</v>
      </c>
      <c r="E44" s="77">
        <f t="shared" si="28"/>
        <v>19724.823351186431</v>
      </c>
      <c r="F44" s="77">
        <f t="shared" si="28"/>
        <v>30740.471249152553</v>
      </c>
      <c r="G44" s="77">
        <f t="shared" si="28"/>
        <v>37604.666666666672</v>
      </c>
      <c r="H44" s="77">
        <f t="shared" si="28"/>
        <v>27505.523333333331</v>
      </c>
      <c r="I44" s="77">
        <f t="shared" si="28"/>
        <v>26737.59099652827</v>
      </c>
      <c r="J44" s="77">
        <f t="shared" si="28"/>
        <v>33853.579198985579</v>
      </c>
      <c r="K44" s="77">
        <f t="shared" si="28"/>
        <v>34075.780474667699</v>
      </c>
      <c r="L44" s="77">
        <f t="shared" si="28"/>
        <v>34087.519417695199</v>
      </c>
      <c r="M44" s="77">
        <f t="shared" si="28"/>
        <v>39340.251460601648</v>
      </c>
      <c r="N44" s="77">
        <f t="shared" si="28"/>
        <v>47162.017849234209</v>
      </c>
      <c r="O44" s="77">
        <f t="shared" si="28"/>
        <v>57371.661274625862</v>
      </c>
      <c r="P44" s="77">
        <f t="shared" si="28"/>
        <v>79919.485264766932</v>
      </c>
      <c r="Q44" s="77">
        <f t="shared" si="28"/>
        <v>83418.833634499577</v>
      </c>
      <c r="R44" s="77">
        <f t="shared" si="28"/>
        <v>76285.982803746301</v>
      </c>
      <c r="S44" s="77">
        <f t="shared" si="28"/>
        <v>68411.142475453002</v>
      </c>
      <c r="T44" s="77">
        <f t="shared" si="28"/>
        <v>64614.9713100144</v>
      </c>
      <c r="U44" s="77">
        <f t="shared" si="28"/>
        <v>60784.989794218403</v>
      </c>
      <c r="V44" s="77">
        <f t="shared" si="28"/>
        <v>56828.65381499377</v>
      </c>
      <c r="W44" s="77">
        <f t="shared" si="28"/>
        <v>44808.569570630665</v>
      </c>
      <c r="X44" s="77">
        <f t="shared" si="28"/>
        <v>45922.852353906055</v>
      </c>
      <c r="Y44" s="77">
        <f t="shared" si="28"/>
        <v>40682.172774145998</v>
      </c>
      <c r="Z44" s="77">
        <f t="shared" si="28"/>
        <v>40682.172774145998</v>
      </c>
      <c r="AA44" s="77">
        <f t="shared" si="28"/>
        <v>40682.172774145998</v>
      </c>
      <c r="AB44" s="77">
        <f t="shared" si="28"/>
        <v>40682.172774145998</v>
      </c>
      <c r="AC44" s="94"/>
    </row>
    <row r="45" spans="1:32"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90"/>
    </row>
    <row r="46" spans="1:32">
      <c r="B46" s="37" t="s">
        <v>690</v>
      </c>
      <c r="C46" s="77">
        <f t="shared" ref="C46:AB46" si="29">C37+C38</f>
        <v>783529.36629490601</v>
      </c>
      <c r="D46" s="77">
        <f t="shared" si="29"/>
        <v>885527.34729149053</v>
      </c>
      <c r="E46" s="77">
        <f t="shared" si="29"/>
        <v>11250.24707999999</v>
      </c>
      <c r="F46" s="77">
        <f t="shared" si="29"/>
        <v>2829.4542999999999</v>
      </c>
      <c r="G46" s="77">
        <f t="shared" si="29"/>
        <v>29224.2</v>
      </c>
      <c r="H46" s="77">
        <f t="shared" si="29"/>
        <v>18383.39</v>
      </c>
      <c r="I46" s="77">
        <f t="shared" si="29"/>
        <v>16797.12432986161</v>
      </c>
      <c r="J46" s="77">
        <f t="shared" si="29"/>
        <v>20948.059001179499</v>
      </c>
      <c r="K46" s="77">
        <f t="shared" si="29"/>
        <v>15996.225780106</v>
      </c>
      <c r="L46" s="77">
        <f t="shared" si="29"/>
        <v>8075.41108663253</v>
      </c>
      <c r="M46" s="77">
        <f t="shared" si="29"/>
        <v>10753.94191585821</v>
      </c>
      <c r="N46" s="77">
        <f t="shared" si="29"/>
        <v>16773.208304490799</v>
      </c>
      <c r="O46" s="77">
        <f t="shared" si="29"/>
        <v>28968.010063215799</v>
      </c>
      <c r="P46" s="77">
        <f t="shared" si="29"/>
        <v>45466.724295619002</v>
      </c>
      <c r="Q46" s="77">
        <f t="shared" si="29"/>
        <v>79675.497914980398</v>
      </c>
      <c r="R46" s="77">
        <f t="shared" si="29"/>
        <v>76285.982803746301</v>
      </c>
      <c r="S46" s="77">
        <f t="shared" si="29"/>
        <v>68411.142475453002</v>
      </c>
      <c r="T46" s="77">
        <f t="shared" si="29"/>
        <v>64614.9713100144</v>
      </c>
      <c r="U46" s="77">
        <f t="shared" si="29"/>
        <v>60784.989794218403</v>
      </c>
      <c r="V46" s="77">
        <f t="shared" si="29"/>
        <v>56828.65381499377</v>
      </c>
      <c r="W46" s="77">
        <f t="shared" si="29"/>
        <v>44808.569570630665</v>
      </c>
      <c r="X46" s="77">
        <f t="shared" si="29"/>
        <v>45922.852353906055</v>
      </c>
      <c r="Y46" s="77">
        <f t="shared" si="29"/>
        <v>40682.172774145998</v>
      </c>
      <c r="Z46" s="77">
        <f t="shared" si="29"/>
        <v>40682.172774145998</v>
      </c>
      <c r="AA46" s="77">
        <f t="shared" si="29"/>
        <v>40682.172774145998</v>
      </c>
      <c r="AB46" s="77">
        <f t="shared" si="29"/>
        <v>40682.172774145998</v>
      </c>
      <c r="AC46" s="90"/>
    </row>
    <row r="48" spans="1:32">
      <c r="E48" s="78"/>
      <c r="F48" s="78"/>
      <c r="G48" s="78"/>
      <c r="J48" s="77">
        <f t="shared" ref="J48:AB48" si="30">J37+J38+J41</f>
        <v>43028.63</v>
      </c>
      <c r="K48" s="77">
        <f t="shared" si="30"/>
        <v>48474.825652946602</v>
      </c>
      <c r="L48" s="77">
        <f t="shared" si="30"/>
        <v>53516.240214971433</v>
      </c>
      <c r="M48" s="77">
        <f t="shared" si="30"/>
        <v>10753.94191585821</v>
      </c>
      <c r="N48" s="77">
        <f t="shared" si="30"/>
        <v>16773.208304490799</v>
      </c>
      <c r="O48" s="77">
        <f t="shared" si="30"/>
        <v>28968.010063215799</v>
      </c>
      <c r="P48" s="77">
        <f t="shared" si="30"/>
        <v>45466.724295619002</v>
      </c>
      <c r="Q48" s="77">
        <f t="shared" si="30"/>
        <v>79675.497914980398</v>
      </c>
      <c r="R48" s="77">
        <f t="shared" si="30"/>
        <v>76285.982803746301</v>
      </c>
      <c r="S48" s="77">
        <f t="shared" si="30"/>
        <v>68411.142475453002</v>
      </c>
      <c r="T48" s="77">
        <f t="shared" si="30"/>
        <v>64614.9713100144</v>
      </c>
      <c r="U48" s="77">
        <f t="shared" si="30"/>
        <v>60784.989794218403</v>
      </c>
      <c r="V48" s="77">
        <f t="shared" si="30"/>
        <v>56828.65381499377</v>
      </c>
      <c r="W48" s="77">
        <f t="shared" si="30"/>
        <v>44808.569570630665</v>
      </c>
      <c r="X48" s="77">
        <f t="shared" si="30"/>
        <v>45922.852353906055</v>
      </c>
      <c r="Y48" s="77">
        <f t="shared" si="30"/>
        <v>40682.172774145998</v>
      </c>
      <c r="Z48" s="77">
        <f t="shared" si="30"/>
        <v>40682.172774145998</v>
      </c>
      <c r="AA48" s="77">
        <f t="shared" si="30"/>
        <v>40682.172774145998</v>
      </c>
      <c r="AB48" s="77">
        <f t="shared" si="30"/>
        <v>40682.172774145998</v>
      </c>
    </row>
    <row r="49" spans="1:29">
      <c r="A49" s="34"/>
      <c r="B49" s="37" t="s">
        <v>691</v>
      </c>
      <c r="D49" s="78">
        <f>SUM(J49:L49)</f>
        <v>100000</v>
      </c>
      <c r="E49" s="38"/>
      <c r="F49" s="38"/>
      <c r="G49" s="38"/>
      <c r="J49" s="78">
        <f>'[10]%'!D3/1000</f>
        <v>22080.570998820498</v>
      </c>
      <c r="K49" s="78">
        <f>'[10]%'!E7/1000</f>
        <v>32478.599872840598</v>
      </c>
      <c r="L49" s="78">
        <f>'[10]%'!F11/1000</f>
        <v>45440.829128338904</v>
      </c>
    </row>
    <row r="50" spans="1:29">
      <c r="A50" s="34"/>
      <c r="E50" s="38"/>
      <c r="F50" s="38"/>
      <c r="G50" s="38"/>
    </row>
    <row r="51" spans="1:29">
      <c r="A51" s="34"/>
      <c r="B51" s="37" t="s">
        <v>692</v>
      </c>
      <c r="D51" s="78"/>
      <c r="E51" s="78"/>
      <c r="F51" s="78"/>
      <c r="G51" s="78"/>
    </row>
    <row r="52" spans="1:29" s="34" customFormat="1">
      <c r="B52" s="79" t="s">
        <v>693</v>
      </c>
      <c r="C52" s="80">
        <f>(7.5+2)%</f>
        <v>9.5000000000000001E-2</v>
      </c>
      <c r="D52" s="81">
        <f t="shared" ref="D52:D54" si="31">SUM(J52:X52)</f>
        <v>36680.453957007769</v>
      </c>
      <c r="E52" s="81"/>
      <c r="F52" s="81"/>
      <c r="G52" s="81"/>
      <c r="H52" s="81"/>
      <c r="I52" s="81"/>
      <c r="J52" s="81">
        <f>'[10]%'!D20</f>
        <v>1919.49730902075</v>
      </c>
      <c r="K52" s="81">
        <f>'[10]%'!E20</f>
        <v>4724.4127867317102</v>
      </c>
      <c r="L52" s="81">
        <f>'[10]%'!F20</f>
        <v>8343.9133666416092</v>
      </c>
      <c r="M52" s="81">
        <f>'[10]%'!G20</f>
        <v>7467.9547604407799</v>
      </c>
      <c r="N52" s="81">
        <f>'[10]%'!H20</f>
        <v>6045.4871870234902</v>
      </c>
      <c r="O52" s="81">
        <f>'[10]%'!I20</f>
        <v>4623.0196136062004</v>
      </c>
      <c r="P52" s="81">
        <f>'[10]%'!J20</f>
        <v>3200.5520401888998</v>
      </c>
      <c r="Q52" s="81">
        <f>'[10]%'!K20</f>
        <v>355.61689335432197</v>
      </c>
      <c r="R52" s="81">
        <f>'[10]%'!L20</f>
        <v>0</v>
      </c>
      <c r="S52" s="81">
        <f>'[10]%'!M20</f>
        <v>0</v>
      </c>
      <c r="T52" s="81">
        <f>'[10]%'!N20</f>
        <v>0</v>
      </c>
      <c r="U52" s="81">
        <f>'[10]%'!O20</f>
        <v>0</v>
      </c>
      <c r="V52" s="81">
        <f>'[10]%'!P20</f>
        <v>0</v>
      </c>
      <c r="W52" s="81">
        <f>'[10]%'!Q20</f>
        <v>0</v>
      </c>
      <c r="X52" s="81">
        <f>'[10]%'!R20</f>
        <v>0</v>
      </c>
      <c r="Y52" s="78"/>
      <c r="Z52" s="78"/>
      <c r="AA52" s="78"/>
      <c r="AB52" s="78"/>
      <c r="AC52" s="40"/>
    </row>
    <row r="53" spans="1:29" s="34" customFormat="1">
      <c r="B53" s="79" t="s">
        <v>694</v>
      </c>
      <c r="C53" s="82"/>
      <c r="D53" s="81">
        <f t="shared" si="31"/>
        <v>99999.99999999984</v>
      </c>
      <c r="E53" s="81"/>
      <c r="F53" s="81"/>
      <c r="G53" s="81"/>
      <c r="H53" s="81"/>
      <c r="I53" s="81"/>
      <c r="J53" s="81">
        <f>'[10]%'!D21</f>
        <v>2070.0535311394201</v>
      </c>
      <c r="K53" s="81">
        <f>'[10]%'!E21</f>
        <v>6239.9213612283402</v>
      </c>
      <c r="L53" s="81">
        <f>'[10]%'!F21</f>
        <v>13079.9749977293</v>
      </c>
      <c r="M53" s="81">
        <f>'[10]%'!G21</f>
        <v>14973.342878076701</v>
      </c>
      <c r="N53" s="81">
        <f>'[10]%'!H21</f>
        <v>14973.342878076701</v>
      </c>
      <c r="O53" s="81">
        <f>'[10]%'!I21</f>
        <v>14973.342878076701</v>
      </c>
      <c r="P53" s="81">
        <f>'[10]%'!J21</f>
        <v>29946.6857561535</v>
      </c>
      <c r="Q53" s="81">
        <f>'[10]%'!K21</f>
        <v>3743.3357195191802</v>
      </c>
      <c r="R53" s="81">
        <f>'[10]%'!L21</f>
        <v>0</v>
      </c>
      <c r="S53" s="81">
        <f>'[10]%'!M21</f>
        <v>0</v>
      </c>
      <c r="T53" s="81">
        <f>'[10]%'!N21</f>
        <v>0</v>
      </c>
      <c r="U53" s="81">
        <f>'[10]%'!O21</f>
        <v>0</v>
      </c>
      <c r="V53" s="81">
        <f>'[10]%'!P21</f>
        <v>0</v>
      </c>
      <c r="W53" s="81">
        <f>'[10]%'!Q21</f>
        <v>0</v>
      </c>
      <c r="X53" s="81">
        <f>'[10]%'!R21</f>
        <v>0</v>
      </c>
      <c r="Y53" s="78"/>
      <c r="Z53" s="78"/>
      <c r="AA53" s="78"/>
      <c r="AB53" s="78"/>
      <c r="AC53" s="40"/>
    </row>
    <row r="54" spans="1:29" s="34" customFormat="1">
      <c r="B54" s="79" t="s">
        <v>695</v>
      </c>
      <c r="C54" s="82"/>
      <c r="D54" s="81">
        <f t="shared" si="31"/>
        <v>100000</v>
      </c>
      <c r="E54" s="82"/>
      <c r="F54" s="82"/>
      <c r="G54" s="82"/>
      <c r="H54" s="81"/>
      <c r="I54" s="81"/>
      <c r="J54" s="81">
        <f t="shared" ref="J54:L54" si="32">J49</f>
        <v>22080.570998820498</v>
      </c>
      <c r="K54" s="81">
        <f t="shared" si="32"/>
        <v>32478.599872840598</v>
      </c>
      <c r="L54" s="81">
        <f t="shared" si="32"/>
        <v>45440.829128338904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5"/>
      <c r="Y54" s="92"/>
      <c r="Z54" s="92"/>
      <c r="AA54" s="92"/>
      <c r="AB54" s="92"/>
      <c r="AC54" s="95"/>
    </row>
    <row r="55" spans="1:29" s="34" customFormat="1">
      <c r="B55" s="79"/>
      <c r="C55" s="82"/>
      <c r="D55" s="81"/>
      <c r="E55" s="82"/>
      <c r="F55" s="82"/>
      <c r="G55" s="82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5"/>
      <c r="Y55" s="92"/>
      <c r="Z55" s="92"/>
      <c r="AA55" s="92"/>
      <c r="AB55" s="92"/>
      <c r="AC55" s="40"/>
    </row>
    <row r="56" spans="1:29" s="34" customFormat="1">
      <c r="B56" s="79" t="s">
        <v>696</v>
      </c>
      <c r="C56" s="82"/>
      <c r="D56" s="81">
        <f t="shared" ref="D56:D61" si="33">SUM(J56:X56)</f>
        <v>24762.464231191629</v>
      </c>
      <c r="E56" s="81"/>
      <c r="F56" s="81"/>
      <c r="G56" s="81"/>
      <c r="H56" s="81"/>
      <c r="I56" s="81"/>
      <c r="J56" s="81">
        <f t="shared" ref="J56:X56" si="34">J52*$D$71</f>
        <v>1295.8259325853862</v>
      </c>
      <c r="K56" s="81">
        <f t="shared" si="34"/>
        <v>3189.3853544437357</v>
      </c>
      <c r="L56" s="81">
        <f t="shared" si="34"/>
        <v>5632.8598476941916</v>
      </c>
      <c r="M56" s="81">
        <f t="shared" si="34"/>
        <v>5041.5123774726981</v>
      </c>
      <c r="N56" s="81">
        <f t="shared" si="34"/>
        <v>4081.2243055731378</v>
      </c>
      <c r="O56" s="81">
        <f t="shared" si="34"/>
        <v>3120.9362336735776</v>
      </c>
      <c r="P56" s="81">
        <f t="shared" si="34"/>
        <v>2160.6481617740096</v>
      </c>
      <c r="Q56" s="81">
        <f t="shared" si="34"/>
        <v>240.0720179748898</v>
      </c>
      <c r="R56" s="81">
        <f t="shared" si="34"/>
        <v>0</v>
      </c>
      <c r="S56" s="81">
        <f t="shared" si="34"/>
        <v>0</v>
      </c>
      <c r="T56" s="81">
        <f t="shared" si="34"/>
        <v>0</v>
      </c>
      <c r="U56" s="81">
        <f t="shared" si="34"/>
        <v>0</v>
      </c>
      <c r="V56" s="81">
        <f t="shared" si="34"/>
        <v>0</v>
      </c>
      <c r="W56" s="81">
        <f t="shared" si="34"/>
        <v>0</v>
      </c>
      <c r="X56" s="81">
        <f t="shared" si="34"/>
        <v>0</v>
      </c>
      <c r="Y56" s="78"/>
      <c r="Z56" s="78"/>
      <c r="AA56" s="78"/>
      <c r="AB56" s="78"/>
      <c r="AC56" s="40"/>
    </row>
    <row r="57" spans="1:29" s="34" customFormat="1">
      <c r="B57" s="79" t="s">
        <v>694</v>
      </c>
      <c r="C57" s="82"/>
      <c r="D57" s="81">
        <f t="shared" si="33"/>
        <v>67508.608972547212</v>
      </c>
      <c r="E57" s="81"/>
      <c r="F57" s="79"/>
      <c r="G57" s="79"/>
      <c r="H57" s="79"/>
      <c r="I57" s="79"/>
      <c r="J57" s="81">
        <f t="shared" ref="J57:X57" si="35">J53*$D$71</f>
        <v>1397.4643438593191</v>
      </c>
      <c r="K57" s="81">
        <f t="shared" si="35"/>
        <v>4212.4841119460916</v>
      </c>
      <c r="L57" s="81">
        <f t="shared" si="35"/>
        <v>8830.1091749240277</v>
      </c>
      <c r="M57" s="81">
        <f t="shared" si="35"/>
        <v>10108.295493679561</v>
      </c>
      <c r="N57" s="81">
        <f t="shared" si="35"/>
        <v>10108.295493679561</v>
      </c>
      <c r="O57" s="81">
        <f t="shared" si="35"/>
        <v>10108.295493679561</v>
      </c>
      <c r="P57" s="81">
        <f t="shared" si="35"/>
        <v>20216.590987359188</v>
      </c>
      <c r="Q57" s="81">
        <f t="shared" si="35"/>
        <v>2527.073873419894</v>
      </c>
      <c r="R57" s="81">
        <f t="shared" si="35"/>
        <v>0</v>
      </c>
      <c r="S57" s="81">
        <f t="shared" si="35"/>
        <v>0</v>
      </c>
      <c r="T57" s="81">
        <f t="shared" si="35"/>
        <v>0</v>
      </c>
      <c r="U57" s="81">
        <f t="shared" si="35"/>
        <v>0</v>
      </c>
      <c r="V57" s="81">
        <f t="shared" si="35"/>
        <v>0</v>
      </c>
      <c r="W57" s="81">
        <f t="shared" si="35"/>
        <v>0</v>
      </c>
      <c r="X57" s="81">
        <f t="shared" si="35"/>
        <v>0</v>
      </c>
      <c r="Y57" s="78"/>
      <c r="Z57" s="78"/>
      <c r="AA57" s="78"/>
      <c r="AB57" s="78"/>
      <c r="AC57" s="40"/>
    </row>
    <row r="58" spans="1:29" s="34" customFormat="1">
      <c r="B58" s="79" t="s">
        <v>695</v>
      </c>
      <c r="C58" s="82"/>
      <c r="D58" s="81">
        <f t="shared" si="33"/>
        <v>67508.608972547314</v>
      </c>
      <c r="E58" s="79"/>
      <c r="F58" s="79"/>
      <c r="G58" s="79"/>
      <c r="H58" s="79"/>
      <c r="I58" s="79"/>
      <c r="J58" s="81">
        <f t="shared" ref="J58:X58" si="36">J54*$D$71</f>
        <v>14906.286334499415</v>
      </c>
      <c r="K58" s="81">
        <f t="shared" si="36"/>
        <v>21925.850987914208</v>
      </c>
      <c r="L58" s="81">
        <f t="shared" si="36"/>
        <v>30676.471650133692</v>
      </c>
      <c r="M58" s="81">
        <f t="shared" si="36"/>
        <v>0</v>
      </c>
      <c r="N58" s="81">
        <f t="shared" si="36"/>
        <v>0</v>
      </c>
      <c r="O58" s="81">
        <f t="shared" si="36"/>
        <v>0</v>
      </c>
      <c r="P58" s="81">
        <f t="shared" si="36"/>
        <v>0</v>
      </c>
      <c r="Q58" s="81">
        <f t="shared" si="36"/>
        <v>0</v>
      </c>
      <c r="R58" s="81">
        <f t="shared" si="36"/>
        <v>0</v>
      </c>
      <c r="S58" s="81">
        <f t="shared" si="36"/>
        <v>0</v>
      </c>
      <c r="T58" s="81">
        <f t="shared" si="36"/>
        <v>0</v>
      </c>
      <c r="U58" s="81">
        <f t="shared" si="36"/>
        <v>0</v>
      </c>
      <c r="V58" s="81">
        <f t="shared" si="36"/>
        <v>0</v>
      </c>
      <c r="W58" s="81">
        <f t="shared" si="36"/>
        <v>0</v>
      </c>
      <c r="X58" s="81">
        <f t="shared" si="36"/>
        <v>0</v>
      </c>
      <c r="Y58" s="78"/>
      <c r="Z58" s="78"/>
      <c r="AA58" s="78"/>
      <c r="AB58" s="78"/>
      <c r="AC58" s="95"/>
    </row>
    <row r="59" spans="1:29" s="34" customFormat="1">
      <c r="B59" s="79" t="s">
        <v>697</v>
      </c>
      <c r="C59" s="82"/>
      <c r="D59" s="81">
        <f t="shared" si="33"/>
        <v>11917.989725816133</v>
      </c>
      <c r="E59" s="81"/>
      <c r="F59" s="81"/>
      <c r="G59" s="81"/>
      <c r="H59" s="81"/>
      <c r="I59" s="81"/>
      <c r="J59" s="81">
        <f t="shared" ref="J59:X59" si="37">J52*$D$72</f>
        <v>623.67137643536375</v>
      </c>
      <c r="K59" s="81">
        <f t="shared" si="37"/>
        <v>1535.0274322879743</v>
      </c>
      <c r="L59" s="81">
        <f t="shared" si="37"/>
        <v>2711.0535189474172</v>
      </c>
      <c r="M59" s="81">
        <f t="shared" si="37"/>
        <v>2426.4423829680813</v>
      </c>
      <c r="N59" s="81">
        <f t="shared" si="37"/>
        <v>1964.2628814503521</v>
      </c>
      <c r="O59" s="81">
        <f t="shared" si="37"/>
        <v>1502.0833799326228</v>
      </c>
      <c r="P59" s="81">
        <f t="shared" si="37"/>
        <v>1039.9038784148902</v>
      </c>
      <c r="Q59" s="81">
        <f t="shared" si="37"/>
        <v>115.54487537943216</v>
      </c>
      <c r="R59" s="81">
        <f t="shared" si="37"/>
        <v>0</v>
      </c>
      <c r="S59" s="81">
        <f t="shared" si="37"/>
        <v>0</v>
      </c>
      <c r="T59" s="81">
        <f t="shared" si="37"/>
        <v>0</v>
      </c>
      <c r="U59" s="81">
        <f t="shared" si="37"/>
        <v>0</v>
      </c>
      <c r="V59" s="81">
        <f t="shared" si="37"/>
        <v>0</v>
      </c>
      <c r="W59" s="81">
        <f t="shared" si="37"/>
        <v>0</v>
      </c>
      <c r="X59" s="81">
        <f t="shared" si="37"/>
        <v>0</v>
      </c>
      <c r="Y59" s="78"/>
      <c r="Z59" s="78"/>
      <c r="AA59" s="78"/>
      <c r="AB59" s="78"/>
      <c r="AC59" s="40"/>
    </row>
    <row r="60" spans="1:29" s="34" customFormat="1">
      <c r="B60" s="79" t="s">
        <v>694</v>
      </c>
      <c r="C60" s="82"/>
      <c r="D60" s="81">
        <f t="shared" si="33"/>
        <v>32491.391027452639</v>
      </c>
      <c r="E60" s="79"/>
      <c r="F60" s="79"/>
      <c r="G60" s="79"/>
      <c r="H60" s="79"/>
      <c r="I60" s="79"/>
      <c r="J60" s="81">
        <f t="shared" ref="J60:X60" si="38">J53*$D$72</f>
        <v>672.5891872801011</v>
      </c>
      <c r="K60" s="81">
        <f t="shared" si="38"/>
        <v>2027.4372492822486</v>
      </c>
      <c r="L60" s="81">
        <f t="shared" si="38"/>
        <v>4249.8658228052727</v>
      </c>
      <c r="M60" s="81">
        <f t="shared" si="38"/>
        <v>4865.0473843971395</v>
      </c>
      <c r="N60" s="81">
        <f t="shared" si="38"/>
        <v>4865.0473843971395</v>
      </c>
      <c r="O60" s="81">
        <f t="shared" si="38"/>
        <v>4865.0473843971395</v>
      </c>
      <c r="P60" s="81">
        <f t="shared" si="38"/>
        <v>9730.0947687943099</v>
      </c>
      <c r="Q60" s="81">
        <f t="shared" si="38"/>
        <v>1216.2618460992865</v>
      </c>
      <c r="R60" s="81">
        <f t="shared" si="38"/>
        <v>0</v>
      </c>
      <c r="S60" s="81">
        <f t="shared" si="38"/>
        <v>0</v>
      </c>
      <c r="T60" s="81">
        <f t="shared" si="38"/>
        <v>0</v>
      </c>
      <c r="U60" s="81">
        <f t="shared" si="38"/>
        <v>0</v>
      </c>
      <c r="V60" s="81">
        <f t="shared" si="38"/>
        <v>0</v>
      </c>
      <c r="W60" s="81">
        <f t="shared" si="38"/>
        <v>0</v>
      </c>
      <c r="X60" s="81">
        <f t="shared" si="38"/>
        <v>0</v>
      </c>
      <c r="Y60" s="78"/>
      <c r="Z60" s="78"/>
      <c r="AA60" s="78"/>
      <c r="AB60" s="78"/>
      <c r="AC60" s="40"/>
    </row>
    <row r="61" spans="1:29" s="34" customFormat="1">
      <c r="B61" s="79" t="s">
        <v>695</v>
      </c>
      <c r="C61" s="82"/>
      <c r="D61" s="81">
        <f t="shared" si="33"/>
        <v>32491.391027452686</v>
      </c>
      <c r="E61" s="73"/>
      <c r="F61" s="79"/>
      <c r="G61" s="79"/>
      <c r="H61" s="79"/>
      <c r="I61" s="79"/>
      <c r="J61" s="81">
        <f t="shared" ref="J61:X61" si="39">J54*$D$72</f>
        <v>7174.2846643210833</v>
      </c>
      <c r="K61" s="81">
        <f t="shared" si="39"/>
        <v>10552.74888492639</v>
      </c>
      <c r="L61" s="81">
        <f t="shared" si="39"/>
        <v>14764.357478205215</v>
      </c>
      <c r="M61" s="81">
        <f t="shared" si="39"/>
        <v>0</v>
      </c>
      <c r="N61" s="81">
        <f t="shared" si="39"/>
        <v>0</v>
      </c>
      <c r="O61" s="81">
        <f t="shared" si="39"/>
        <v>0</v>
      </c>
      <c r="P61" s="81">
        <f t="shared" si="39"/>
        <v>0</v>
      </c>
      <c r="Q61" s="81">
        <f t="shared" si="39"/>
        <v>0</v>
      </c>
      <c r="R61" s="81">
        <f t="shared" si="39"/>
        <v>0</v>
      </c>
      <c r="S61" s="81">
        <f t="shared" si="39"/>
        <v>0</v>
      </c>
      <c r="T61" s="81">
        <f t="shared" si="39"/>
        <v>0</v>
      </c>
      <c r="U61" s="81">
        <f t="shared" si="39"/>
        <v>0</v>
      </c>
      <c r="V61" s="81">
        <f t="shared" si="39"/>
        <v>0</v>
      </c>
      <c r="W61" s="81">
        <f t="shared" si="39"/>
        <v>0</v>
      </c>
      <c r="X61" s="81">
        <f t="shared" si="39"/>
        <v>0</v>
      </c>
      <c r="Y61" s="78"/>
      <c r="Z61" s="78"/>
      <c r="AA61" s="78"/>
      <c r="AB61" s="78"/>
      <c r="AC61" s="95"/>
    </row>
    <row r="62" spans="1:29">
      <c r="A62" s="34"/>
      <c r="D62" s="78"/>
      <c r="E62" s="77"/>
    </row>
    <row r="63" spans="1:29">
      <c r="A63" s="34"/>
      <c r="E63" s="77"/>
    </row>
    <row r="64" spans="1:29">
      <c r="A64" s="34"/>
      <c r="E64" s="77"/>
    </row>
    <row r="65" spans="1:29">
      <c r="A65" s="34"/>
      <c r="AC65" s="34"/>
    </row>
    <row r="66" spans="1:29">
      <c r="A66" s="34"/>
      <c r="D66" s="78">
        <f t="shared" ref="D66:D68" si="40">D52-D56-D59</f>
        <v>0</v>
      </c>
      <c r="E66" s="77"/>
      <c r="J66" s="78">
        <f t="shared" ref="J66:AB66" si="41">J52-J56-J59</f>
        <v>0</v>
      </c>
      <c r="K66" s="78">
        <f t="shared" si="41"/>
        <v>0</v>
      </c>
      <c r="L66" s="78">
        <f t="shared" si="41"/>
        <v>0</v>
      </c>
      <c r="M66" s="78">
        <f t="shared" si="41"/>
        <v>0</v>
      </c>
      <c r="N66" s="78">
        <f t="shared" si="41"/>
        <v>0</v>
      </c>
      <c r="O66" s="78">
        <f t="shared" si="41"/>
        <v>0</v>
      </c>
      <c r="P66" s="78">
        <f t="shared" si="41"/>
        <v>0</v>
      </c>
      <c r="Q66" s="78">
        <f t="shared" si="41"/>
        <v>0</v>
      </c>
      <c r="R66" s="78">
        <f t="shared" si="41"/>
        <v>0</v>
      </c>
      <c r="S66" s="78">
        <f t="shared" si="41"/>
        <v>0</v>
      </c>
      <c r="T66" s="78">
        <f t="shared" si="41"/>
        <v>0</v>
      </c>
      <c r="U66" s="78">
        <f t="shared" si="41"/>
        <v>0</v>
      </c>
      <c r="V66" s="78">
        <f t="shared" si="41"/>
        <v>0</v>
      </c>
      <c r="W66" s="78">
        <f t="shared" si="41"/>
        <v>0</v>
      </c>
      <c r="X66" s="78">
        <f t="shared" si="41"/>
        <v>0</v>
      </c>
      <c r="Y66" s="78">
        <f t="shared" si="41"/>
        <v>0</v>
      </c>
      <c r="Z66" s="78">
        <f t="shared" si="41"/>
        <v>0</v>
      </c>
      <c r="AA66" s="78">
        <f t="shared" si="41"/>
        <v>0</v>
      </c>
      <c r="AB66" s="78">
        <f t="shared" si="41"/>
        <v>0</v>
      </c>
      <c r="AC66" s="34"/>
    </row>
    <row r="67" spans="1:29">
      <c r="A67" s="34"/>
      <c r="D67" s="78">
        <f t="shared" si="40"/>
        <v>0</v>
      </c>
      <c r="J67" s="78">
        <f t="shared" ref="J67:AB67" si="42">J53-J57-J60</f>
        <v>0</v>
      </c>
      <c r="K67" s="78">
        <f t="shared" si="42"/>
        <v>0</v>
      </c>
      <c r="L67" s="78">
        <f t="shared" si="42"/>
        <v>0</v>
      </c>
      <c r="M67" s="78">
        <f t="shared" si="42"/>
        <v>0</v>
      </c>
      <c r="N67" s="78">
        <f t="shared" si="42"/>
        <v>0</v>
      </c>
      <c r="O67" s="78">
        <f t="shared" si="42"/>
        <v>0</v>
      </c>
      <c r="P67" s="78">
        <f t="shared" si="42"/>
        <v>0</v>
      </c>
      <c r="Q67" s="78">
        <f t="shared" si="42"/>
        <v>0</v>
      </c>
      <c r="R67" s="78">
        <f t="shared" si="42"/>
        <v>0</v>
      </c>
      <c r="S67" s="78">
        <f t="shared" si="42"/>
        <v>0</v>
      </c>
      <c r="T67" s="78">
        <f t="shared" si="42"/>
        <v>0</v>
      </c>
      <c r="U67" s="78">
        <f t="shared" si="42"/>
        <v>0</v>
      </c>
      <c r="V67" s="78">
        <f t="shared" si="42"/>
        <v>0</v>
      </c>
      <c r="W67" s="78">
        <f t="shared" si="42"/>
        <v>0</v>
      </c>
      <c r="X67" s="78">
        <f t="shared" si="42"/>
        <v>0</v>
      </c>
      <c r="Y67" s="78">
        <f t="shared" si="42"/>
        <v>0</v>
      </c>
      <c r="Z67" s="78">
        <f t="shared" si="42"/>
        <v>0</v>
      </c>
      <c r="AA67" s="78">
        <f t="shared" si="42"/>
        <v>0</v>
      </c>
      <c r="AB67" s="78">
        <f t="shared" si="42"/>
        <v>0</v>
      </c>
      <c r="AC67" s="34"/>
    </row>
    <row r="68" spans="1:29">
      <c r="A68" s="34"/>
      <c r="D68" s="78">
        <f t="shared" si="40"/>
        <v>0</v>
      </c>
      <c r="J68" s="78">
        <f t="shared" ref="J68:AB68" si="43">J54-J58-J61</f>
        <v>0</v>
      </c>
      <c r="K68" s="78">
        <f t="shared" si="43"/>
        <v>0</v>
      </c>
      <c r="L68" s="78">
        <f t="shared" si="43"/>
        <v>0</v>
      </c>
      <c r="M68" s="78">
        <f t="shared" si="43"/>
        <v>0</v>
      </c>
      <c r="N68" s="78">
        <f t="shared" si="43"/>
        <v>0</v>
      </c>
      <c r="O68" s="78">
        <f t="shared" si="43"/>
        <v>0</v>
      </c>
      <c r="P68" s="78">
        <f t="shared" si="43"/>
        <v>0</v>
      </c>
      <c r="Q68" s="78">
        <f t="shared" si="43"/>
        <v>0</v>
      </c>
      <c r="R68" s="78">
        <f t="shared" si="43"/>
        <v>0</v>
      </c>
      <c r="S68" s="78">
        <f t="shared" si="43"/>
        <v>0</v>
      </c>
      <c r="T68" s="78">
        <f t="shared" si="43"/>
        <v>0</v>
      </c>
      <c r="U68" s="78">
        <f t="shared" si="43"/>
        <v>0</v>
      </c>
      <c r="V68" s="78">
        <f t="shared" si="43"/>
        <v>0</v>
      </c>
      <c r="W68" s="78">
        <f t="shared" si="43"/>
        <v>0</v>
      </c>
      <c r="X68" s="78">
        <f t="shared" si="43"/>
        <v>0</v>
      </c>
      <c r="Y68" s="78">
        <f t="shared" si="43"/>
        <v>0</v>
      </c>
      <c r="Z68" s="78">
        <f t="shared" si="43"/>
        <v>0</v>
      </c>
      <c r="AA68" s="78">
        <f t="shared" si="43"/>
        <v>0</v>
      </c>
      <c r="AB68" s="78">
        <f t="shared" si="43"/>
        <v>0</v>
      </c>
      <c r="AC68" s="34"/>
    </row>
    <row r="69" spans="1:29">
      <c r="A69" s="34"/>
      <c r="AC69" s="34"/>
    </row>
    <row r="70" spans="1:29">
      <c r="A70" s="34"/>
      <c r="B70" s="37" t="s">
        <v>698</v>
      </c>
      <c r="C70" s="38">
        <f>SUM(C71:C72)</f>
        <v>41682.172774145998</v>
      </c>
      <c r="D70" s="39">
        <f>SUM(D71:D72)</f>
        <v>1</v>
      </c>
      <c r="AC70" s="34"/>
    </row>
    <row r="71" spans="1:29">
      <c r="A71" s="34"/>
      <c r="C71" s="38">
        <f>'[10]Прил 9 коррект'!O45</f>
        <v>28139.055029359799</v>
      </c>
      <c r="D71" s="39">
        <f>C71/C70</f>
        <v>0.67508608972547313</v>
      </c>
      <c r="AC71" s="34"/>
    </row>
    <row r="72" spans="1:29">
      <c r="A72" s="34"/>
      <c r="C72" s="38">
        <f>'[10]Прил 9 коррект'!CD45</f>
        <v>13543.117744786199</v>
      </c>
      <c r="D72" s="39">
        <f>C72/C70</f>
        <v>0.32491391027452687</v>
      </c>
      <c r="AC72" s="34"/>
    </row>
    <row r="73" spans="1:29">
      <c r="A73" s="34"/>
      <c r="AC73" s="34"/>
    </row>
    <row r="74" spans="1:29">
      <c r="A74" s="34"/>
      <c r="I74" s="37" t="s">
        <v>13</v>
      </c>
      <c r="J74" s="77">
        <f t="shared" ref="J74:AB74" si="44">J14+J15</f>
        <v>10944.7216710015</v>
      </c>
      <c r="K74" s="77">
        <f t="shared" si="44"/>
        <v>6374.6543304617999</v>
      </c>
      <c r="L74" s="77">
        <f t="shared" si="44"/>
        <v>3112.8847663567899</v>
      </c>
      <c r="M74" s="77">
        <f t="shared" si="44"/>
        <v>4473.871452413</v>
      </c>
      <c r="N74" s="77">
        <f t="shared" si="44"/>
        <v>4380.4805597045997</v>
      </c>
      <c r="O74" s="77">
        <f t="shared" si="44"/>
        <v>16162.422318429601</v>
      </c>
      <c r="P74" s="77">
        <f t="shared" si="44"/>
        <v>30231.330790096297</v>
      </c>
      <c r="Q74" s="77">
        <f t="shared" si="44"/>
        <v>46919.004956087796</v>
      </c>
      <c r="R74" s="77">
        <f t="shared" si="44"/>
        <v>45387.274371050502</v>
      </c>
      <c r="S74" s="77">
        <f t="shared" si="44"/>
        <v>40889.979032005896</v>
      </c>
      <c r="T74" s="77">
        <f t="shared" si="44"/>
        <v>38716.483434800903</v>
      </c>
      <c r="U74" s="77">
        <f t="shared" si="44"/>
        <v>36520.131244359109</v>
      </c>
      <c r="V74" s="77">
        <f t="shared" si="44"/>
        <v>34244.986976741828</v>
      </c>
      <c r="W74" s="77">
        <f t="shared" si="44"/>
        <v>27839.055029359799</v>
      </c>
      <c r="X74" s="77">
        <f t="shared" si="44"/>
        <v>31844.524609119901</v>
      </c>
      <c r="Y74" s="77">
        <f t="shared" si="44"/>
        <v>27839.055029359799</v>
      </c>
      <c r="Z74" s="77">
        <f t="shared" si="44"/>
        <v>27839.055029359799</v>
      </c>
      <c r="AA74" s="77">
        <f t="shared" si="44"/>
        <v>27839.055029359799</v>
      </c>
      <c r="AB74" s="77">
        <f t="shared" si="44"/>
        <v>27839.055029359799</v>
      </c>
      <c r="AC74" s="34"/>
    </row>
    <row r="75" spans="1:29">
      <c r="A75" s="34"/>
      <c r="I75" s="37" t="s">
        <v>40</v>
      </c>
      <c r="J75" s="77">
        <f t="shared" ref="J75:AB75" si="45">J26+J27</f>
        <v>10003.337330177999</v>
      </c>
      <c r="K75" s="77">
        <f t="shared" si="45"/>
        <v>9621.5714496441997</v>
      </c>
      <c r="L75" s="77">
        <f t="shared" si="45"/>
        <v>4962.5263202757396</v>
      </c>
      <c r="M75" s="77">
        <f t="shared" si="45"/>
        <v>6280.0704634452104</v>
      </c>
      <c r="N75" s="77">
        <f t="shared" si="45"/>
        <v>12392.7277447862</v>
      </c>
      <c r="O75" s="77">
        <f t="shared" si="45"/>
        <v>12805.5877447862</v>
      </c>
      <c r="P75" s="77">
        <f t="shared" si="45"/>
        <v>15235.393505522699</v>
      </c>
      <c r="Q75" s="77">
        <f t="shared" si="45"/>
        <v>32756.492958892599</v>
      </c>
      <c r="R75" s="77">
        <f t="shared" si="45"/>
        <v>30898.708432695799</v>
      </c>
      <c r="S75" s="77">
        <f t="shared" si="45"/>
        <v>27521.163443447098</v>
      </c>
      <c r="T75" s="77">
        <f t="shared" si="45"/>
        <v>25898.487875213497</v>
      </c>
      <c r="U75" s="77">
        <f t="shared" si="45"/>
        <v>24264.858549859298</v>
      </c>
      <c r="V75" s="77">
        <f t="shared" si="45"/>
        <v>22583.666838251938</v>
      </c>
      <c r="W75" s="77">
        <f t="shared" si="45"/>
        <v>16969.51454127087</v>
      </c>
      <c r="X75" s="77">
        <f t="shared" si="45"/>
        <v>14078.327744786158</v>
      </c>
      <c r="Y75" s="77">
        <f t="shared" si="45"/>
        <v>12843.117744786199</v>
      </c>
      <c r="Z75" s="77">
        <f t="shared" si="45"/>
        <v>12843.117744786199</v>
      </c>
      <c r="AA75" s="77">
        <f t="shared" si="45"/>
        <v>12843.117744786199</v>
      </c>
      <c r="AB75" s="77">
        <f t="shared" si="45"/>
        <v>12843.117744786199</v>
      </c>
      <c r="AC75" s="34"/>
    </row>
  </sheetData>
  <mergeCells count="7">
    <mergeCell ref="Q1:V1"/>
    <mergeCell ref="A2:W2"/>
    <mergeCell ref="E4:AB4"/>
    <mergeCell ref="A4:A5"/>
    <mergeCell ref="B4:B5"/>
    <mergeCell ref="C4:C5"/>
    <mergeCell ref="D4:D5"/>
  </mergeCells>
  <pageMargins left="0.69791666666666696" right="0.69791666666666696" top="0.75" bottom="0.75" header="0.51041666666666696" footer="0.51041666666666696"/>
  <pageSetup paperSize="9" firstPageNumber="0" orientation="portrait" useFirstPageNumber="1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5"/>
  <sheetViews>
    <sheetView view="pageBreakPreview" zoomScaleNormal="85" zoomScaleSheetLayoutView="100" workbookViewId="0">
      <selection activeCell="B34" sqref="B34"/>
    </sheetView>
  </sheetViews>
  <sheetFormatPr defaultColWidth="9" defaultRowHeight="15"/>
  <cols>
    <col min="1" max="1" width="67" style="1" customWidth="1"/>
    <col min="2" max="13" width="10.42578125" style="2" customWidth="1"/>
    <col min="14" max="14" width="10.28515625" style="2" customWidth="1"/>
    <col min="15" max="15" width="8.85546875" style="2" customWidth="1"/>
    <col min="16" max="21" width="10.42578125" style="2" customWidth="1"/>
    <col min="22" max="22" width="12" style="2" customWidth="1"/>
    <col min="23" max="25" width="9.28515625" style="2" customWidth="1"/>
    <col min="26" max="1025" width="9.140625" style="2" customWidth="1"/>
  </cols>
  <sheetData>
    <row r="2" spans="1:27">
      <c r="B2" s="3"/>
      <c r="C2" s="3"/>
    </row>
    <row r="3" spans="1:27">
      <c r="A3" s="4"/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5">
        <v>2032</v>
      </c>
      <c r="N3" s="5">
        <v>2033</v>
      </c>
      <c r="O3" s="5">
        <v>2034</v>
      </c>
      <c r="P3" s="5">
        <v>2035</v>
      </c>
      <c r="Q3" s="5">
        <v>2036</v>
      </c>
      <c r="R3" s="5">
        <v>2037</v>
      </c>
      <c r="S3" s="5">
        <v>2038</v>
      </c>
      <c r="T3" s="5">
        <v>2039</v>
      </c>
      <c r="U3" s="5">
        <v>2040</v>
      </c>
      <c r="V3" s="628" t="s">
        <v>502</v>
      </c>
      <c r="W3" s="628"/>
      <c r="X3" s="628"/>
      <c r="Y3" s="628"/>
      <c r="Z3" s="628"/>
      <c r="AA3" s="628"/>
    </row>
    <row r="4" spans="1:27">
      <c r="A4" s="4" t="s">
        <v>699</v>
      </c>
      <c r="B4" s="6">
        <v>18068.9732632911</v>
      </c>
      <c r="C4" s="6">
        <f t="shared" ref="C4:U4" si="0">C5+C6</f>
        <v>17835.603381660982</v>
      </c>
      <c r="D4" s="6">
        <f t="shared" si="0"/>
        <v>17808.603381660982</v>
      </c>
      <c r="E4" s="6">
        <f t="shared" si="0"/>
        <v>17783.153381660981</v>
      </c>
      <c r="F4" s="6">
        <f t="shared" si="0"/>
        <v>17752.70338166098</v>
      </c>
      <c r="G4" s="6">
        <f t="shared" si="0"/>
        <v>17752.253381660979</v>
      </c>
      <c r="H4" s="6">
        <f t="shared" si="0"/>
        <v>17751.803381660982</v>
      </c>
      <c r="I4" s="6">
        <f t="shared" si="0"/>
        <v>17731.353381660982</v>
      </c>
      <c r="J4" s="6">
        <f t="shared" si="0"/>
        <v>17730.903381660981</v>
      </c>
      <c r="K4" s="6">
        <f t="shared" si="0"/>
        <v>17720.673381660981</v>
      </c>
      <c r="L4" s="6">
        <f t="shared" si="0"/>
        <v>17710.933381660983</v>
      </c>
      <c r="M4" s="6">
        <f t="shared" si="0"/>
        <v>17704.553381660982</v>
      </c>
      <c r="N4" s="6">
        <f t="shared" si="0"/>
        <v>17478.43724659369</v>
      </c>
      <c r="O4" s="6">
        <f t="shared" si="0"/>
        <v>17430.844467317722</v>
      </c>
      <c r="P4" s="6">
        <f t="shared" si="0"/>
        <v>17385.193924096038</v>
      </c>
      <c r="Q4" s="6">
        <f t="shared" si="0"/>
        <v>17339.787279162629</v>
      </c>
      <c r="R4" s="6">
        <f t="shared" si="0"/>
        <v>17294.622583102937</v>
      </c>
      <c r="S4" s="6">
        <f t="shared" si="0"/>
        <v>17249.697907222097</v>
      </c>
      <c r="T4" s="6">
        <f t="shared" si="0"/>
        <v>17205.011343270344</v>
      </c>
      <c r="U4" s="6">
        <f t="shared" si="0"/>
        <v>17160.561003172857</v>
      </c>
      <c r="V4" s="626"/>
      <c r="W4" s="626"/>
      <c r="X4" s="626"/>
      <c r="Y4" s="626"/>
      <c r="Z4" s="626"/>
      <c r="AA4" s="626"/>
    </row>
    <row r="5" spans="1:27">
      <c r="A5" s="4" t="s">
        <v>700</v>
      </c>
      <c r="B5" s="6">
        <v>452.57826329107502</v>
      </c>
      <c r="C5" s="6">
        <v>387.63299999999998</v>
      </c>
      <c r="D5" s="6">
        <v>387.63299999999998</v>
      </c>
      <c r="E5" s="6">
        <v>387.63299999999998</v>
      </c>
      <c r="F5" s="6">
        <v>387.63299999999998</v>
      </c>
      <c r="G5" s="6">
        <v>387.63299999999998</v>
      </c>
      <c r="H5" s="6">
        <v>387.63299999999998</v>
      </c>
      <c r="I5" s="6">
        <v>387.63299999999998</v>
      </c>
      <c r="J5" s="6">
        <v>387.63299999999998</v>
      </c>
      <c r="K5" s="6">
        <v>387.63299999999998</v>
      </c>
      <c r="L5" s="6">
        <v>387.63299999999998</v>
      </c>
      <c r="M5" s="6">
        <v>387.63299999999998</v>
      </c>
      <c r="N5" s="6">
        <v>387.63299999999998</v>
      </c>
      <c r="O5" s="6">
        <v>387.63299999999998</v>
      </c>
      <c r="P5" s="6">
        <v>387.63299999999998</v>
      </c>
      <c r="Q5" s="6">
        <v>387.63299999999998</v>
      </c>
      <c r="R5" s="6">
        <v>387.63299999999998</v>
      </c>
      <c r="S5" s="6">
        <v>387.63299999999998</v>
      </c>
      <c r="T5" s="6">
        <v>387.63299999999998</v>
      </c>
      <c r="U5" s="6">
        <v>387.63299999999998</v>
      </c>
      <c r="V5" s="626"/>
      <c r="W5" s="626"/>
      <c r="X5" s="626"/>
      <c r="Y5" s="626"/>
      <c r="Z5" s="626"/>
      <c r="AA5" s="626"/>
    </row>
    <row r="6" spans="1:27">
      <c r="A6" s="4" t="s">
        <v>701</v>
      </c>
      <c r="B6" s="6">
        <v>17616.395</v>
      </c>
      <c r="C6" s="6">
        <f t="shared" ref="C6:O6" si="1">C7+C9+C10</f>
        <v>17447.97038166098</v>
      </c>
      <c r="D6" s="6">
        <f t="shared" si="1"/>
        <v>17420.97038166098</v>
      </c>
      <c r="E6" s="6">
        <f t="shared" si="1"/>
        <v>17395.520381660979</v>
      </c>
      <c r="F6" s="6">
        <f t="shared" si="1"/>
        <v>17365.070381660978</v>
      </c>
      <c r="G6" s="6">
        <f t="shared" si="1"/>
        <v>17364.620381660978</v>
      </c>
      <c r="H6" s="6">
        <f t="shared" si="1"/>
        <v>17364.170381660981</v>
      </c>
      <c r="I6" s="6">
        <f t="shared" si="1"/>
        <v>17343.72038166098</v>
      </c>
      <c r="J6" s="6">
        <f t="shared" si="1"/>
        <v>17343.270381660979</v>
      </c>
      <c r="K6" s="6">
        <f t="shared" si="1"/>
        <v>17333.04038166098</v>
      </c>
      <c r="L6" s="6">
        <f t="shared" si="1"/>
        <v>17323.300381660982</v>
      </c>
      <c r="M6" s="6">
        <f t="shared" si="1"/>
        <v>17316.920381660981</v>
      </c>
      <c r="N6" s="6">
        <f t="shared" si="1"/>
        <v>17090.804246593689</v>
      </c>
      <c r="O6" s="6">
        <f t="shared" si="1"/>
        <v>17043.21146731772</v>
      </c>
      <c r="P6" s="6">
        <f t="shared" ref="P6:U6" si="2">(P7+P10)/(1-P8)</f>
        <v>16997.560924096037</v>
      </c>
      <c r="Q6" s="6">
        <f t="shared" si="2"/>
        <v>16952.154279162627</v>
      </c>
      <c r="R6" s="6">
        <f t="shared" si="2"/>
        <v>16906.989583102935</v>
      </c>
      <c r="S6" s="6">
        <f t="shared" si="2"/>
        <v>16862.064907222095</v>
      </c>
      <c r="T6" s="6">
        <f t="shared" si="2"/>
        <v>16817.378343270342</v>
      </c>
      <c r="U6" s="6">
        <f t="shared" si="2"/>
        <v>16772.928003172856</v>
      </c>
      <c r="V6" s="626"/>
      <c r="W6" s="626"/>
      <c r="X6" s="626"/>
      <c r="Y6" s="626"/>
      <c r="Z6" s="626"/>
      <c r="AA6" s="626"/>
    </row>
    <row r="7" spans="1:27" ht="48.75" customHeight="1">
      <c r="A7" s="4" t="s">
        <v>702</v>
      </c>
      <c r="B7" s="6">
        <v>1133.0892600101799</v>
      </c>
      <c r="C7" s="6">
        <v>869.44432349537897</v>
      </c>
      <c r="D7" s="6">
        <v>869.44432349537897</v>
      </c>
      <c r="E7" s="6">
        <v>869.44432349537897</v>
      </c>
      <c r="F7" s="6">
        <v>869.44432349537897</v>
      </c>
      <c r="G7" s="6">
        <v>869.44432349537897</v>
      </c>
      <c r="H7" s="6">
        <v>869.44432349537897</v>
      </c>
      <c r="I7" s="6">
        <v>869.44432349537897</v>
      </c>
      <c r="J7" s="6">
        <v>869.44432349537897</v>
      </c>
      <c r="K7" s="6">
        <v>869.44432349537897</v>
      </c>
      <c r="L7" s="6">
        <v>869.44432349537897</v>
      </c>
      <c r="M7" s="6">
        <v>869.44432349537897</v>
      </c>
      <c r="N7" s="6">
        <v>869.44432349537897</v>
      </c>
      <c r="O7" s="6">
        <v>869.44432349537897</v>
      </c>
      <c r="P7" s="6">
        <v>869.44432349537897</v>
      </c>
      <c r="Q7" s="6">
        <v>869.44432349537897</v>
      </c>
      <c r="R7" s="6">
        <v>869.44432349537897</v>
      </c>
      <c r="S7" s="6">
        <v>869.44432349537897</v>
      </c>
      <c r="T7" s="6">
        <v>869.44432349537897</v>
      </c>
      <c r="U7" s="6">
        <v>869.44432349537897</v>
      </c>
      <c r="V7" s="626" t="s">
        <v>703</v>
      </c>
      <c r="W7" s="626"/>
      <c r="X7" s="626"/>
      <c r="Y7" s="626"/>
      <c r="Z7" s="626"/>
      <c r="AA7" s="626"/>
    </row>
    <row r="8" spans="1:27" ht="15" customHeight="1">
      <c r="A8" s="4" t="s">
        <v>704</v>
      </c>
      <c r="B8" s="7">
        <v>0.32714899975788603</v>
      </c>
      <c r="C8" s="7">
        <v>0.32714899975788603</v>
      </c>
      <c r="D8" s="7">
        <f t="shared" ref="D8:M8" si="3">D9/D4</f>
        <v>0.31900795005721183</v>
      </c>
      <c r="E8" s="7">
        <f t="shared" si="3"/>
        <v>0.3180333620694078</v>
      </c>
      <c r="F8" s="7">
        <f t="shared" si="3"/>
        <v>0.31686363125835632</v>
      </c>
      <c r="G8" s="7">
        <f t="shared" si="3"/>
        <v>0.31684631450654321</v>
      </c>
      <c r="H8" s="7">
        <f t="shared" si="3"/>
        <v>0.31682899687678678</v>
      </c>
      <c r="I8" s="7">
        <f t="shared" si="3"/>
        <v>0.31604107918583835</v>
      </c>
      <c r="J8" s="7">
        <f t="shared" si="3"/>
        <v>0.31602372070681778</v>
      </c>
      <c r="K8" s="7">
        <f t="shared" si="3"/>
        <v>0.31562886678752994</v>
      </c>
      <c r="L8" s="7">
        <f t="shared" si="3"/>
        <v>0.31525250182167264</v>
      </c>
      <c r="M8" s="7">
        <f t="shared" si="3"/>
        <v>0.31500574671047604</v>
      </c>
      <c r="N8" s="7">
        <v>0.31308766081998701</v>
      </c>
      <c r="O8" s="7">
        <f>O9/O6</f>
        <v>0.31116947378092841</v>
      </c>
      <c r="P8" s="7">
        <f t="shared" ref="P8:U8" si="4">O8-0.00185</f>
        <v>0.30931947378092839</v>
      </c>
      <c r="Q8" s="7">
        <f t="shared" si="4"/>
        <v>0.30746947378092837</v>
      </c>
      <c r="R8" s="7">
        <f t="shared" si="4"/>
        <v>0.30561947378092835</v>
      </c>
      <c r="S8" s="7">
        <f t="shared" si="4"/>
        <v>0.30376947378092833</v>
      </c>
      <c r="T8" s="7">
        <f t="shared" si="4"/>
        <v>0.30191947378092832</v>
      </c>
      <c r="U8" s="7">
        <f t="shared" si="4"/>
        <v>0.3000694737809283</v>
      </c>
      <c r="V8" s="626" t="s">
        <v>705</v>
      </c>
      <c r="W8" s="626"/>
      <c r="X8" s="626"/>
      <c r="Y8" s="626"/>
      <c r="Z8" s="626"/>
      <c r="AA8" s="626"/>
    </row>
    <row r="9" spans="1:27">
      <c r="A9" s="4" t="s">
        <v>706</v>
      </c>
      <c r="B9" s="6">
        <v>5763.1860035898198</v>
      </c>
      <c r="C9" s="6">
        <v>5708.0860581655998</v>
      </c>
      <c r="D9" s="6">
        <f>C9-3-17-7</f>
        <v>5681.0860581655998</v>
      </c>
      <c r="E9" s="6">
        <f>D9-25-0.45</f>
        <v>5655.6360581655999</v>
      </c>
      <c r="F9" s="6">
        <f>E9-30-0.45</f>
        <v>5625.1860581656001</v>
      </c>
      <c r="G9" s="6">
        <f t="shared" ref="G9:J9" si="5">F9-0.45</f>
        <v>5624.7360581656003</v>
      </c>
      <c r="H9" s="6">
        <f t="shared" si="5"/>
        <v>5624.2860581656005</v>
      </c>
      <c r="I9" s="6">
        <f>H9-20-0.45</f>
        <v>5603.8360581656007</v>
      </c>
      <c r="J9" s="6">
        <f t="shared" si="5"/>
        <v>5603.3860581656008</v>
      </c>
      <c r="K9" s="6">
        <f>J9-9.78-0.45</f>
        <v>5593.1560581656013</v>
      </c>
      <c r="L9" s="6">
        <f>K9-9.29-0.45</f>
        <v>5583.4160581656015</v>
      </c>
      <c r="M9" s="6">
        <f>L9-25+9.29+9.78-0.45</f>
        <v>5577.0360581656014</v>
      </c>
      <c r="N9" s="6">
        <v>5350.9199230983104</v>
      </c>
      <c r="O9" s="6">
        <v>5303.3271438223401</v>
      </c>
      <c r="P9" s="6">
        <f t="shared" ref="P9:U9" si="6">P8*P6</f>
        <v>5257.6766006006574</v>
      </c>
      <c r="Q9" s="6">
        <f t="shared" si="6"/>
        <v>5212.269955667246</v>
      </c>
      <c r="R9" s="6">
        <f t="shared" si="6"/>
        <v>5167.105259607556</v>
      </c>
      <c r="S9" s="6">
        <f t="shared" si="6"/>
        <v>5122.1805837267138</v>
      </c>
      <c r="T9" s="6">
        <f t="shared" si="6"/>
        <v>5077.494019774962</v>
      </c>
      <c r="U9" s="6">
        <f t="shared" si="6"/>
        <v>5033.0436796774757</v>
      </c>
      <c r="V9" s="626"/>
      <c r="W9" s="626"/>
      <c r="X9" s="626"/>
      <c r="Y9" s="626"/>
      <c r="Z9" s="626"/>
      <c r="AA9" s="626"/>
    </row>
    <row r="10" spans="1:27" ht="15" customHeight="1">
      <c r="A10" s="4" t="s">
        <v>603</v>
      </c>
      <c r="B10" s="6">
        <v>10720.1197364</v>
      </c>
      <c r="C10" s="6">
        <v>10870.44</v>
      </c>
      <c r="D10" s="6">
        <v>10870.44</v>
      </c>
      <c r="E10" s="6">
        <v>10870.44</v>
      </c>
      <c r="F10" s="6">
        <v>10870.44</v>
      </c>
      <c r="G10" s="6">
        <v>10870.44</v>
      </c>
      <c r="H10" s="6">
        <v>10870.44</v>
      </c>
      <c r="I10" s="6">
        <v>10870.44</v>
      </c>
      <c r="J10" s="6">
        <v>10870.44</v>
      </c>
      <c r="K10" s="6">
        <v>10870.44</v>
      </c>
      <c r="L10" s="6">
        <v>10870.44</v>
      </c>
      <c r="M10" s="6">
        <v>10870.44</v>
      </c>
      <c r="N10" s="6">
        <v>10870.44</v>
      </c>
      <c r="O10" s="6">
        <v>10870.44</v>
      </c>
      <c r="P10" s="6">
        <v>10870.44</v>
      </c>
      <c r="Q10" s="6">
        <v>10870.44</v>
      </c>
      <c r="R10" s="6">
        <v>10870.44</v>
      </c>
      <c r="S10" s="6">
        <v>10870.44</v>
      </c>
      <c r="T10" s="6">
        <v>10870.44</v>
      </c>
      <c r="U10" s="6">
        <v>10870.44</v>
      </c>
      <c r="V10" s="626" t="s">
        <v>707</v>
      </c>
      <c r="W10" s="626"/>
      <c r="X10" s="626"/>
      <c r="Y10" s="626"/>
      <c r="Z10" s="626"/>
      <c r="AA10" s="626"/>
    </row>
    <row r="12" spans="1:27" ht="15" hidden="1" customHeight="1">
      <c r="A12" s="627" t="s">
        <v>708</v>
      </c>
      <c r="B12" s="3">
        <f t="shared" ref="B12:U12" si="7">B10+B9+B7</f>
        <v>17616.395</v>
      </c>
      <c r="C12" s="3">
        <f t="shared" si="7"/>
        <v>17447.97038166098</v>
      </c>
      <c r="D12" s="3">
        <f t="shared" si="7"/>
        <v>17420.97038166098</v>
      </c>
      <c r="E12" s="3">
        <f t="shared" si="7"/>
        <v>17395.520381660979</v>
      </c>
      <c r="F12" s="3">
        <f t="shared" si="7"/>
        <v>17365.070381660982</v>
      </c>
      <c r="G12" s="3">
        <f t="shared" si="7"/>
        <v>17364.620381660981</v>
      </c>
      <c r="H12" s="3">
        <f t="shared" si="7"/>
        <v>17364.170381660981</v>
      </c>
      <c r="I12" s="3">
        <f t="shared" si="7"/>
        <v>17343.72038166098</v>
      </c>
      <c r="J12" s="3">
        <f t="shared" si="7"/>
        <v>17343.270381660979</v>
      </c>
      <c r="K12" s="3">
        <f t="shared" si="7"/>
        <v>17333.040381660983</v>
      </c>
      <c r="L12" s="3">
        <f t="shared" si="7"/>
        <v>17323.300381660982</v>
      </c>
      <c r="M12" s="3">
        <f t="shared" si="7"/>
        <v>17316.920381660981</v>
      </c>
      <c r="N12" s="3">
        <f t="shared" si="7"/>
        <v>17090.804246593689</v>
      </c>
      <c r="O12" s="3">
        <f t="shared" si="7"/>
        <v>17043.21146731772</v>
      </c>
      <c r="P12" s="3">
        <f t="shared" si="7"/>
        <v>16997.560924096037</v>
      </c>
      <c r="Q12" s="3">
        <f t="shared" si="7"/>
        <v>16952.154279162627</v>
      </c>
      <c r="R12" s="3">
        <f t="shared" si="7"/>
        <v>16906.989583102935</v>
      </c>
      <c r="S12" s="3">
        <f t="shared" si="7"/>
        <v>16862.064907222095</v>
      </c>
      <c r="T12" s="3">
        <f t="shared" si="7"/>
        <v>16817.378343270342</v>
      </c>
      <c r="U12" s="3">
        <f t="shared" si="7"/>
        <v>16772.928003172856</v>
      </c>
    </row>
    <row r="13" spans="1:27" hidden="1">
      <c r="A13" s="627"/>
      <c r="B13" s="3">
        <f t="shared" ref="B13:U13" si="8">B12-B7-B9-B10</f>
        <v>0</v>
      </c>
      <c r="C13" s="3">
        <f t="shared" si="8"/>
        <v>0</v>
      </c>
      <c r="D13" s="3">
        <f t="shared" si="8"/>
        <v>0</v>
      </c>
      <c r="E13" s="3">
        <f t="shared" si="8"/>
        <v>0</v>
      </c>
      <c r="F13" s="3">
        <f t="shared" si="8"/>
        <v>0</v>
      </c>
      <c r="G13" s="3">
        <f t="shared" si="8"/>
        <v>0</v>
      </c>
      <c r="H13" s="3">
        <f t="shared" si="8"/>
        <v>0</v>
      </c>
      <c r="I13" s="3">
        <f t="shared" si="8"/>
        <v>0</v>
      </c>
      <c r="J13" s="3">
        <f t="shared" si="8"/>
        <v>0</v>
      </c>
      <c r="K13" s="3">
        <f t="shared" si="8"/>
        <v>0</v>
      </c>
      <c r="L13" s="3">
        <f t="shared" si="8"/>
        <v>0</v>
      </c>
      <c r="M13" s="3">
        <f t="shared" si="8"/>
        <v>0</v>
      </c>
      <c r="N13" s="3">
        <f t="shared" si="8"/>
        <v>0</v>
      </c>
      <c r="O13" s="3">
        <f t="shared" si="8"/>
        <v>0</v>
      </c>
      <c r="P13" s="3">
        <f t="shared" si="8"/>
        <v>0</v>
      </c>
      <c r="Q13" s="3">
        <f t="shared" si="8"/>
        <v>0</v>
      </c>
      <c r="R13" s="3">
        <f t="shared" si="8"/>
        <v>0</v>
      </c>
      <c r="S13" s="3">
        <f t="shared" si="8"/>
        <v>0</v>
      </c>
      <c r="T13" s="3">
        <f t="shared" si="8"/>
        <v>0</v>
      </c>
      <c r="U13" s="3">
        <f t="shared" si="8"/>
        <v>0</v>
      </c>
    </row>
    <row r="14" spans="1:27" hidden="1">
      <c r="A14" s="627"/>
      <c r="B14" s="3">
        <f t="shared" ref="B14:U14" si="9">B4-B5-B6</f>
        <v>0</v>
      </c>
      <c r="C14" s="3">
        <f t="shared" si="9"/>
        <v>0</v>
      </c>
      <c r="D14" s="3">
        <f t="shared" si="9"/>
        <v>0</v>
      </c>
      <c r="E14" s="3">
        <f t="shared" si="9"/>
        <v>0</v>
      </c>
      <c r="F14" s="3">
        <f t="shared" si="9"/>
        <v>0</v>
      </c>
      <c r="G14" s="3">
        <f t="shared" si="9"/>
        <v>0</v>
      </c>
      <c r="H14" s="3">
        <f t="shared" si="9"/>
        <v>0</v>
      </c>
      <c r="I14" s="3">
        <f t="shared" si="9"/>
        <v>0</v>
      </c>
      <c r="J14" s="3">
        <f t="shared" si="9"/>
        <v>0</v>
      </c>
      <c r="K14" s="3">
        <f t="shared" si="9"/>
        <v>0</v>
      </c>
      <c r="L14" s="3">
        <f t="shared" si="9"/>
        <v>0</v>
      </c>
      <c r="M14" s="3">
        <f t="shared" si="9"/>
        <v>0</v>
      </c>
      <c r="N14" s="3">
        <f t="shared" si="9"/>
        <v>0</v>
      </c>
      <c r="O14" s="3">
        <f t="shared" si="9"/>
        <v>0</v>
      </c>
      <c r="P14" s="3">
        <f t="shared" si="9"/>
        <v>0</v>
      </c>
      <c r="Q14" s="3">
        <f t="shared" si="9"/>
        <v>0</v>
      </c>
      <c r="R14" s="3">
        <f t="shared" si="9"/>
        <v>0</v>
      </c>
      <c r="S14" s="3">
        <f t="shared" si="9"/>
        <v>0</v>
      </c>
      <c r="T14" s="3">
        <f t="shared" si="9"/>
        <v>0</v>
      </c>
      <c r="U14" s="3">
        <f t="shared" si="9"/>
        <v>0</v>
      </c>
    </row>
    <row r="15" spans="1:27" hidden="1">
      <c r="B15" s="8">
        <f t="shared" ref="B15:U15" si="10">B16-B8</f>
        <v>-1.0547118733938987E-15</v>
      </c>
      <c r="C15" s="8">
        <f t="shared" si="10"/>
        <v>-1.0547118733938987E-15</v>
      </c>
      <c r="D15" s="8">
        <f t="shared" si="10"/>
        <v>7.0982273659511708E-3</v>
      </c>
      <c r="E15" s="8">
        <f t="shared" si="10"/>
        <v>7.0868949898741929E-3</v>
      </c>
      <c r="F15" s="8">
        <f t="shared" si="10"/>
        <v>7.0732106047377008E-3</v>
      </c>
      <c r="G15" s="8">
        <f t="shared" si="10"/>
        <v>7.0730073408817873E-3</v>
      </c>
      <c r="H15" s="8">
        <f t="shared" si="10"/>
        <v>7.0728040468922004E-3</v>
      </c>
      <c r="I15" s="8">
        <f t="shared" si="10"/>
        <v>7.0635335990296699E-3</v>
      </c>
      <c r="J15" s="8">
        <f t="shared" si="10"/>
        <v>7.0633289012362321E-3</v>
      </c>
      <c r="K15" s="8">
        <f t="shared" si="10"/>
        <v>7.0586672519900584E-3</v>
      </c>
      <c r="L15" s="8">
        <f t="shared" si="10"/>
        <v>7.0542142863263546E-3</v>
      </c>
      <c r="M15" s="8">
        <f t="shared" si="10"/>
        <v>7.0512897168449329E-3</v>
      </c>
      <c r="N15" s="8">
        <f t="shared" si="10"/>
        <v>0</v>
      </c>
      <c r="O15" s="8">
        <f t="shared" si="10"/>
        <v>0</v>
      </c>
      <c r="P15" s="8">
        <f t="shared" si="10"/>
        <v>0</v>
      </c>
      <c r="Q15" s="8">
        <f t="shared" si="10"/>
        <v>0</v>
      </c>
      <c r="R15" s="8">
        <f t="shared" si="10"/>
        <v>0</v>
      </c>
      <c r="S15" s="8">
        <f t="shared" si="10"/>
        <v>0</v>
      </c>
      <c r="T15" s="8">
        <f t="shared" si="10"/>
        <v>0</v>
      </c>
      <c r="U15" s="8">
        <f t="shared" si="10"/>
        <v>0</v>
      </c>
    </row>
    <row r="16" spans="1:27" hidden="1">
      <c r="B16" s="2">
        <v>0.32714899975788497</v>
      </c>
      <c r="C16" s="2">
        <v>0.32714899975788497</v>
      </c>
      <c r="D16" s="2">
        <v>0.326106177423163</v>
      </c>
      <c r="E16" s="2">
        <v>0.32512025705928199</v>
      </c>
      <c r="F16" s="2">
        <v>0.32393684186309402</v>
      </c>
      <c r="G16" s="2">
        <v>0.323919321847425</v>
      </c>
      <c r="H16" s="2">
        <v>0.32390180092367898</v>
      </c>
      <c r="I16" s="2">
        <v>0.32310461278486802</v>
      </c>
      <c r="J16" s="2">
        <v>0.32308704960805401</v>
      </c>
      <c r="K16" s="2">
        <v>0.32268753403952</v>
      </c>
      <c r="L16" s="28">
        <v>0.32230671610799899</v>
      </c>
      <c r="M16" s="8">
        <v>0.32205703642732098</v>
      </c>
      <c r="N16" s="2">
        <v>0.31308766081998701</v>
      </c>
      <c r="O16" s="2">
        <v>0.31116947378092802</v>
      </c>
      <c r="P16" s="2">
        <v>0.309319473780928</v>
      </c>
      <c r="Q16" s="2">
        <v>0.30746947378092798</v>
      </c>
      <c r="R16" s="2">
        <v>0.30561947378092802</v>
      </c>
      <c r="S16" s="2">
        <v>0.303769473780928</v>
      </c>
      <c r="T16" s="2">
        <v>0.30191947378092798</v>
      </c>
      <c r="U16" s="2">
        <v>0.30006947378092802</v>
      </c>
    </row>
    <row r="18" spans="1:27">
      <c r="A18" s="9" t="s">
        <v>709</v>
      </c>
      <c r="B18" s="10">
        <v>2017</v>
      </c>
      <c r="C18" s="10">
        <v>2018</v>
      </c>
      <c r="D18" s="10">
        <v>2019</v>
      </c>
      <c r="E18" s="10">
        <v>2020</v>
      </c>
      <c r="F18" s="10">
        <v>2021</v>
      </c>
      <c r="G18" s="10">
        <v>2022</v>
      </c>
      <c r="H18" s="10">
        <v>2023</v>
      </c>
      <c r="I18" s="10">
        <v>2024</v>
      </c>
      <c r="J18" s="10">
        <v>2025</v>
      </c>
      <c r="K18" s="10">
        <v>2026</v>
      </c>
      <c r="L18" s="10">
        <v>2027</v>
      </c>
      <c r="M18" s="10">
        <v>2028</v>
      </c>
      <c r="N18" s="10">
        <v>2029</v>
      </c>
      <c r="O18" s="10">
        <v>2030</v>
      </c>
      <c r="P18" s="10">
        <v>2031</v>
      </c>
      <c r="Q18" s="10">
        <v>2032</v>
      </c>
      <c r="R18" s="10">
        <v>2033</v>
      </c>
      <c r="S18" s="10">
        <v>2034</v>
      </c>
      <c r="T18" s="10">
        <v>2035</v>
      </c>
      <c r="U18" s="10">
        <v>2036</v>
      </c>
      <c r="V18" s="10">
        <v>2037</v>
      </c>
      <c r="W18" s="10">
        <v>2038</v>
      </c>
      <c r="X18" s="10">
        <v>2039</v>
      </c>
      <c r="Y18" s="10">
        <v>2040</v>
      </c>
    </row>
    <row r="19" spans="1:27" ht="24.75" customHeight="1">
      <c r="A19" s="11" t="s">
        <v>710</v>
      </c>
      <c r="B19" s="12" t="s">
        <v>7</v>
      </c>
      <c r="C19" s="12" t="s">
        <v>7</v>
      </c>
      <c r="D19" s="12" t="s">
        <v>7</v>
      </c>
      <c r="E19" s="12" t="s">
        <v>7</v>
      </c>
      <c r="F19" s="12" t="s">
        <v>7</v>
      </c>
      <c r="G19" s="12" t="s">
        <v>8</v>
      </c>
      <c r="H19" s="12" t="s">
        <v>8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8</v>
      </c>
      <c r="N19" s="12" t="s">
        <v>8</v>
      </c>
      <c r="O19" s="12" t="s">
        <v>8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8</v>
      </c>
      <c r="U19" s="12" t="s">
        <v>8</v>
      </c>
      <c r="V19" s="12" t="s">
        <v>8</v>
      </c>
      <c r="W19" s="12" t="s">
        <v>8</v>
      </c>
      <c r="X19" s="12" t="s">
        <v>8</v>
      </c>
      <c r="Y19" s="29" t="s">
        <v>8</v>
      </c>
    </row>
    <row r="20" spans="1:27" ht="105">
      <c r="A20" s="13" t="s">
        <v>31</v>
      </c>
      <c r="B20" s="14">
        <f t="shared" ref="B20:Y20" si="11">B21/B22</f>
        <v>0.32796888109221267</v>
      </c>
      <c r="C20" s="14">
        <f t="shared" si="11"/>
        <v>0.24093361776885433</v>
      </c>
      <c r="D20" s="14">
        <f t="shared" si="11"/>
        <v>0.21</v>
      </c>
      <c r="E20" s="14">
        <f t="shared" si="11"/>
        <v>0.20853523607318805</v>
      </c>
      <c r="F20" s="14">
        <f t="shared" si="11"/>
        <v>0.36798572311599731</v>
      </c>
      <c r="G20" s="14">
        <f t="shared" si="11"/>
        <v>0.36317545222559211</v>
      </c>
      <c r="H20" s="14">
        <f t="shared" si="11"/>
        <v>0.34874463955437651</v>
      </c>
      <c r="I20" s="14">
        <f t="shared" si="11"/>
        <v>0.34152923321876871</v>
      </c>
      <c r="J20" s="14">
        <f t="shared" si="11"/>
        <v>0.32469328510235057</v>
      </c>
      <c r="K20" s="14">
        <f t="shared" si="11"/>
        <v>0.31026247243113497</v>
      </c>
      <c r="L20" s="14">
        <f t="shared" si="11"/>
        <v>0.29342652431471677</v>
      </c>
      <c r="M20" s="14">
        <f t="shared" si="11"/>
        <v>0.28140084708870383</v>
      </c>
      <c r="N20" s="14">
        <f t="shared" si="11"/>
        <v>0.26697003441748823</v>
      </c>
      <c r="O20" s="14">
        <f t="shared" si="11"/>
        <v>0.25494435719147523</v>
      </c>
      <c r="P20" s="14">
        <f t="shared" si="11"/>
        <v>0.24291867996546226</v>
      </c>
      <c r="Q20" s="14">
        <f t="shared" si="11"/>
        <v>0.23810840907505706</v>
      </c>
      <c r="R20" s="14">
        <f t="shared" si="11"/>
        <v>0.23570327362985447</v>
      </c>
      <c r="S20" s="14">
        <f t="shared" si="11"/>
        <v>0.23329813818465187</v>
      </c>
      <c r="T20" s="14">
        <f t="shared" si="11"/>
        <v>0.22608273184904409</v>
      </c>
      <c r="U20" s="14">
        <f t="shared" si="11"/>
        <v>0.2116519191778285</v>
      </c>
      <c r="V20" s="14">
        <f t="shared" si="11"/>
        <v>0.2092467837326259</v>
      </c>
      <c r="W20" s="14">
        <f t="shared" si="11"/>
        <v>0.20684164828742332</v>
      </c>
      <c r="X20" s="14">
        <f t="shared" si="11"/>
        <v>0.20443651284222072</v>
      </c>
      <c r="Y20" s="30">
        <f t="shared" si="11"/>
        <v>0.20443651284222072</v>
      </c>
    </row>
    <row r="21" spans="1:27" ht="45">
      <c r="A21" s="13" t="s">
        <v>711</v>
      </c>
      <c r="B21" s="15">
        <v>129</v>
      </c>
      <c r="C21" s="15">
        <v>96</v>
      </c>
      <c r="D21" s="15">
        <v>85.843947</v>
      </c>
      <c r="E21" s="15">
        <v>85.843947</v>
      </c>
      <c r="F21" s="15">
        <v>153</v>
      </c>
      <c r="G21" s="16">
        <v>151</v>
      </c>
      <c r="H21" s="16">
        <v>145</v>
      </c>
      <c r="I21" s="16">
        <v>142</v>
      </c>
      <c r="J21" s="16">
        <v>135</v>
      </c>
      <c r="K21" s="16">
        <v>129</v>
      </c>
      <c r="L21" s="16">
        <v>122</v>
      </c>
      <c r="M21" s="16">
        <v>117</v>
      </c>
      <c r="N21" s="16">
        <v>111</v>
      </c>
      <c r="O21" s="16">
        <v>106</v>
      </c>
      <c r="P21" s="16">
        <v>101</v>
      </c>
      <c r="Q21" s="16">
        <v>99</v>
      </c>
      <c r="R21" s="16">
        <v>98</v>
      </c>
      <c r="S21" s="16">
        <v>97</v>
      </c>
      <c r="T21" s="16">
        <v>94</v>
      </c>
      <c r="U21" s="16">
        <v>88</v>
      </c>
      <c r="V21" s="16">
        <v>87</v>
      </c>
      <c r="W21" s="16">
        <v>86</v>
      </c>
      <c r="X21" s="16">
        <v>85</v>
      </c>
      <c r="Y21" s="31">
        <v>85</v>
      </c>
    </row>
    <row r="22" spans="1:27">
      <c r="A22" s="17" t="s">
        <v>36</v>
      </c>
      <c r="B22" s="18">
        <v>393.33</v>
      </c>
      <c r="C22" s="18">
        <v>398.45</v>
      </c>
      <c r="D22" s="18">
        <v>408.78070000000002</v>
      </c>
      <c r="E22" s="18">
        <v>411.65199999999999</v>
      </c>
      <c r="F22" s="18">
        <v>415.77699999999999</v>
      </c>
      <c r="G22" s="19">
        <v>415.77699999999999</v>
      </c>
      <c r="H22" s="19">
        <v>415.77699999999999</v>
      </c>
      <c r="I22" s="19">
        <v>415.77699999999999</v>
      </c>
      <c r="J22" s="19">
        <v>415.77699999999999</v>
      </c>
      <c r="K22" s="19">
        <v>415.77699999999999</v>
      </c>
      <c r="L22" s="19">
        <v>415.77699999999999</v>
      </c>
      <c r="M22" s="19">
        <v>415.77699999999999</v>
      </c>
      <c r="N22" s="19">
        <v>415.77699999999999</v>
      </c>
      <c r="O22" s="19">
        <v>415.77699999999999</v>
      </c>
      <c r="P22" s="19">
        <v>415.77699999999999</v>
      </c>
      <c r="Q22" s="19">
        <v>415.77699999999999</v>
      </c>
      <c r="R22" s="19">
        <v>415.77699999999999</v>
      </c>
      <c r="S22" s="19">
        <v>415.77699999999999</v>
      </c>
      <c r="T22" s="19">
        <v>415.77699999999999</v>
      </c>
      <c r="U22" s="19">
        <v>415.77699999999999</v>
      </c>
      <c r="V22" s="19">
        <v>415.77699999999999</v>
      </c>
      <c r="W22" s="19">
        <v>415.77699999999999</v>
      </c>
      <c r="X22" s="19">
        <v>415.77699999999999</v>
      </c>
      <c r="Y22" s="32">
        <v>415.77699999999999</v>
      </c>
    </row>
    <row r="23" spans="1:27">
      <c r="A23" s="11" t="s">
        <v>712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9"/>
    </row>
    <row r="24" spans="1:27" ht="30">
      <c r="A24" s="13" t="s">
        <v>713</v>
      </c>
      <c r="B24" s="14">
        <f t="shared" ref="B24:Y24" si="12">B25/B26</f>
        <v>1.1681390085420165</v>
      </c>
      <c r="C24" s="14">
        <f t="shared" si="12"/>
        <v>12.394423232673839</v>
      </c>
      <c r="D24" s="14">
        <f t="shared" si="12"/>
        <v>0.97999999999999987</v>
      </c>
      <c r="E24" s="14">
        <f t="shared" si="12"/>
        <v>0.97857142857142854</v>
      </c>
      <c r="F24" s="14">
        <f t="shared" si="12"/>
        <v>2.156956807561786</v>
      </c>
      <c r="G24" s="14">
        <f t="shared" si="12"/>
        <v>2.0965478030666453</v>
      </c>
      <c r="H24" s="14">
        <f t="shared" si="12"/>
        <v>1.9967121933968051</v>
      </c>
      <c r="I24" s="14">
        <f t="shared" si="12"/>
        <v>1.9016306603779094</v>
      </c>
      <c r="J24" s="14">
        <f t="shared" si="12"/>
        <v>1.8110768194075326</v>
      </c>
      <c r="K24" s="14">
        <f t="shared" si="12"/>
        <v>1.7248350661024119</v>
      </c>
      <c r="L24" s="14">
        <f t="shared" si="12"/>
        <v>1.642700062954678</v>
      </c>
      <c r="M24" s="14">
        <f t="shared" si="12"/>
        <v>1.5644762504330265</v>
      </c>
      <c r="N24" s="14">
        <f t="shared" si="12"/>
        <v>1.489977381364787</v>
      </c>
      <c r="O24" s="14">
        <f t="shared" si="12"/>
        <v>1.4326705590046027</v>
      </c>
      <c r="P24" s="14">
        <f t="shared" si="12"/>
        <v>1.3775678451967335</v>
      </c>
      <c r="Q24" s="14">
        <f t="shared" si="12"/>
        <v>1.3245844665353206</v>
      </c>
      <c r="R24" s="14">
        <f t="shared" si="12"/>
        <v>1.2736389101301158</v>
      </c>
      <c r="S24" s="14">
        <f t="shared" si="12"/>
        <v>1.2246527982020343</v>
      </c>
      <c r="T24" s="14">
        <f t="shared" si="12"/>
        <v>1.1775507675019561</v>
      </c>
      <c r="U24" s="14">
        <f t="shared" si="12"/>
        <v>1.1322603533672655</v>
      </c>
      <c r="V24" s="14">
        <f t="shared" si="12"/>
        <v>1.0887118782377552</v>
      </c>
      <c r="W24" s="14">
        <f t="shared" si="12"/>
        <v>1.0368684554645287</v>
      </c>
      <c r="X24" s="14">
        <f t="shared" si="12"/>
        <v>0.9969888994851237</v>
      </c>
      <c r="Y24" s="30">
        <f t="shared" si="12"/>
        <v>0.98711772226249872</v>
      </c>
    </row>
    <row r="25" spans="1:27">
      <c r="A25" s="13" t="s">
        <v>714</v>
      </c>
      <c r="B25" s="20">
        <v>320</v>
      </c>
      <c r="C25" s="20">
        <v>3428</v>
      </c>
      <c r="D25" s="20">
        <v>273.29014999999998</v>
      </c>
      <c r="E25" s="20">
        <v>274</v>
      </c>
      <c r="F25" s="20">
        <v>607</v>
      </c>
      <c r="G25" s="21">
        <v>590</v>
      </c>
      <c r="H25" s="21">
        <f t="shared" ref="H25:N25" si="13">G25/1.05</f>
        <v>561.90476190476193</v>
      </c>
      <c r="I25" s="21">
        <f t="shared" si="13"/>
        <v>535.1473922902494</v>
      </c>
      <c r="J25" s="21">
        <f t="shared" si="13"/>
        <v>509.66418313357082</v>
      </c>
      <c r="K25" s="21">
        <f t="shared" si="13"/>
        <v>485.39446012721027</v>
      </c>
      <c r="L25" s="21">
        <f t="shared" si="13"/>
        <v>462.28043821639073</v>
      </c>
      <c r="M25" s="21">
        <f t="shared" si="13"/>
        <v>440.26708401561018</v>
      </c>
      <c r="N25" s="21">
        <f t="shared" si="13"/>
        <v>419.30198477677158</v>
      </c>
      <c r="O25" s="21">
        <f t="shared" ref="O25:V25" si="14">N25/1.04</f>
        <v>403.17498536228032</v>
      </c>
      <c r="P25" s="21">
        <f t="shared" si="14"/>
        <v>387.66825515603875</v>
      </c>
      <c r="Q25" s="21">
        <f t="shared" si="14"/>
        <v>372.75793765003726</v>
      </c>
      <c r="R25" s="21">
        <f t="shared" si="14"/>
        <v>358.42109389426656</v>
      </c>
      <c r="S25" s="21">
        <f t="shared" si="14"/>
        <v>344.63566720602552</v>
      </c>
      <c r="T25" s="21">
        <f t="shared" si="14"/>
        <v>331.38044923656298</v>
      </c>
      <c r="U25" s="21">
        <f t="shared" si="14"/>
        <v>318.63504734284902</v>
      </c>
      <c r="V25" s="21">
        <f t="shared" si="14"/>
        <v>306.37985321427789</v>
      </c>
      <c r="W25" s="21">
        <f>V25/1.05</f>
        <v>291.79033639455037</v>
      </c>
      <c r="X25" s="21">
        <f>W25/1.04</f>
        <v>280.5676311486061</v>
      </c>
      <c r="Y25" s="21">
        <f>X25/1.01</f>
        <v>277.7897338105011</v>
      </c>
    </row>
    <row r="26" spans="1:27">
      <c r="A26" s="17" t="s">
        <v>71</v>
      </c>
      <c r="B26" s="22">
        <v>273.94</v>
      </c>
      <c r="C26" s="22">
        <v>276.57600000000002</v>
      </c>
      <c r="D26" s="22">
        <v>278.86750000000001</v>
      </c>
      <c r="E26" s="22">
        <v>280</v>
      </c>
      <c r="F26" s="22">
        <v>281.41500000000002</v>
      </c>
      <c r="G26" s="23">
        <v>281.41500000000002</v>
      </c>
      <c r="H26" s="23">
        <v>281.41500000000002</v>
      </c>
      <c r="I26" s="23">
        <v>281.41500000000002</v>
      </c>
      <c r="J26" s="23">
        <v>281.41500000000002</v>
      </c>
      <c r="K26" s="23">
        <v>281.41500000000002</v>
      </c>
      <c r="L26" s="23">
        <v>281.41500000000002</v>
      </c>
      <c r="M26" s="23">
        <v>281.41500000000002</v>
      </c>
      <c r="N26" s="23">
        <v>281.41500000000002</v>
      </c>
      <c r="O26" s="23">
        <v>281.41500000000002</v>
      </c>
      <c r="P26" s="23">
        <v>281.41500000000002</v>
      </c>
      <c r="Q26" s="23">
        <v>281.41500000000002</v>
      </c>
      <c r="R26" s="23">
        <v>281.41500000000002</v>
      </c>
      <c r="S26" s="23">
        <v>281.41500000000002</v>
      </c>
      <c r="T26" s="23">
        <v>281.41500000000002</v>
      </c>
      <c r="U26" s="23">
        <v>281.41500000000002</v>
      </c>
      <c r="V26" s="23">
        <v>281.41500000000002</v>
      </c>
      <c r="W26" s="23">
        <v>281.41500000000002</v>
      </c>
      <c r="X26" s="23">
        <v>281.41500000000002</v>
      </c>
      <c r="Y26" s="33">
        <v>281.41500000000002</v>
      </c>
    </row>
    <row r="29" spans="1:27">
      <c r="A29" s="4"/>
      <c r="B29" s="5">
        <v>2021</v>
      </c>
      <c r="C29" s="5">
        <v>2022</v>
      </c>
      <c r="D29" s="5">
        <v>2023</v>
      </c>
      <c r="E29" s="5">
        <v>2024</v>
      </c>
      <c r="F29" s="5">
        <v>2025</v>
      </c>
      <c r="G29" s="5">
        <v>2026</v>
      </c>
      <c r="H29" s="5">
        <v>2027</v>
      </c>
      <c r="I29" s="5">
        <v>2028</v>
      </c>
      <c r="J29" s="5">
        <v>2029</v>
      </c>
      <c r="K29" s="5">
        <v>2030</v>
      </c>
      <c r="L29" s="5">
        <v>2031</v>
      </c>
      <c r="M29" s="5">
        <v>2032</v>
      </c>
      <c r="N29" s="5">
        <v>2033</v>
      </c>
      <c r="O29" s="5">
        <v>2034</v>
      </c>
      <c r="P29" s="5">
        <v>2035</v>
      </c>
      <c r="Q29" s="5">
        <v>2036</v>
      </c>
      <c r="R29" s="5">
        <v>2037</v>
      </c>
      <c r="S29" s="5">
        <v>2038</v>
      </c>
      <c r="T29" s="5">
        <v>2039</v>
      </c>
      <c r="U29" s="5">
        <v>2040</v>
      </c>
      <c r="V29" s="628" t="s">
        <v>502</v>
      </c>
      <c r="W29" s="628"/>
      <c r="X29" s="628"/>
      <c r="Y29" s="628"/>
      <c r="Z29" s="628"/>
      <c r="AA29" s="628"/>
    </row>
    <row r="30" spans="1:27">
      <c r="A30" s="4" t="s">
        <v>715</v>
      </c>
      <c r="B30" s="24">
        <v>16103.8</v>
      </c>
      <c r="C30" s="24">
        <v>16632.689666666702</v>
      </c>
      <c r="D30" s="24">
        <v>16632.689666666702</v>
      </c>
      <c r="E30" s="24">
        <v>16632.689666666702</v>
      </c>
      <c r="F30" s="24">
        <v>16632.689666666702</v>
      </c>
      <c r="G30" s="24">
        <v>16632.689666666702</v>
      </c>
      <c r="H30" s="24">
        <v>16632.689666666702</v>
      </c>
      <c r="I30" s="24">
        <v>16632.689666666702</v>
      </c>
      <c r="J30" s="24">
        <v>16632.689666666702</v>
      </c>
      <c r="K30" s="24">
        <v>16632.689666666702</v>
      </c>
      <c r="L30" s="24">
        <v>16632.689666666702</v>
      </c>
      <c r="M30" s="24">
        <v>16632.689666666702</v>
      </c>
      <c r="N30" s="24">
        <v>16632.689666666702</v>
      </c>
      <c r="O30" s="24">
        <v>16632.689666666702</v>
      </c>
      <c r="P30" s="24">
        <v>16632.689666666702</v>
      </c>
      <c r="Q30" s="24">
        <v>16632.689666666702</v>
      </c>
      <c r="R30" s="24">
        <v>16632.689666666702</v>
      </c>
      <c r="S30" s="24">
        <v>16632.689666666702</v>
      </c>
      <c r="T30" s="24">
        <v>16632.689666666702</v>
      </c>
      <c r="U30" s="24">
        <v>16632.689666666702</v>
      </c>
      <c r="V30" s="628" t="s">
        <v>716</v>
      </c>
      <c r="W30" s="628"/>
      <c r="X30" s="628"/>
      <c r="Y30" s="628"/>
      <c r="Z30" s="628"/>
      <c r="AA30" s="628"/>
    </row>
    <row r="31" spans="1:27" ht="15" customHeight="1">
      <c r="A31" s="4" t="s">
        <v>717</v>
      </c>
      <c r="B31" s="24">
        <v>1125.1144056743101</v>
      </c>
      <c r="C31" s="24">
        <v>869.44432349537897</v>
      </c>
      <c r="D31" s="24">
        <v>869.44432349537897</v>
      </c>
      <c r="E31" s="24">
        <v>869.44432349537897</v>
      </c>
      <c r="F31" s="24">
        <v>869.44432349537897</v>
      </c>
      <c r="G31" s="24">
        <v>869.44432349537897</v>
      </c>
      <c r="H31" s="24">
        <v>869.44432349537897</v>
      </c>
      <c r="I31" s="24">
        <v>869.44432349537897</v>
      </c>
      <c r="J31" s="24">
        <v>869.44432349537897</v>
      </c>
      <c r="K31" s="24">
        <v>869.44432349537897</v>
      </c>
      <c r="L31" s="24">
        <v>869.44432349537897</v>
      </c>
      <c r="M31" s="24">
        <v>869.44432349537897</v>
      </c>
      <c r="N31" s="24">
        <v>869.44432349537897</v>
      </c>
      <c r="O31" s="24">
        <v>869.44432349537897</v>
      </c>
      <c r="P31" s="24">
        <v>869.44432349537897</v>
      </c>
      <c r="Q31" s="24">
        <v>869.44432349537897</v>
      </c>
      <c r="R31" s="24">
        <v>869.44432349537897</v>
      </c>
      <c r="S31" s="24">
        <v>869.44432349537897</v>
      </c>
      <c r="T31" s="24">
        <v>869.44432349537897</v>
      </c>
      <c r="U31" s="24">
        <v>869.44432349537897</v>
      </c>
      <c r="V31" s="626" t="s">
        <v>718</v>
      </c>
      <c r="W31" s="626"/>
      <c r="X31" s="626"/>
      <c r="Y31" s="626"/>
      <c r="Z31" s="626"/>
      <c r="AA31" s="626"/>
    </row>
    <row r="32" spans="1:27">
      <c r="A32" s="4" t="s">
        <v>719</v>
      </c>
      <c r="B32" s="25">
        <v>0.409802180940256</v>
      </c>
      <c r="C32" s="25">
        <f t="shared" ref="C32:U32" si="15">C33/C30</f>
        <v>0.45683563485220074</v>
      </c>
      <c r="D32" s="25">
        <f t="shared" si="15"/>
        <v>0.45683563485220074</v>
      </c>
      <c r="E32" s="25">
        <f t="shared" si="15"/>
        <v>0.45683563485220074</v>
      </c>
      <c r="F32" s="25">
        <f t="shared" si="15"/>
        <v>0.45683563485220074</v>
      </c>
      <c r="G32" s="25">
        <f t="shared" si="15"/>
        <v>0.45683563485220074</v>
      </c>
      <c r="H32" s="25">
        <f t="shared" si="15"/>
        <v>0.45683563485220074</v>
      </c>
      <c r="I32" s="25">
        <f t="shared" si="15"/>
        <v>0.45683563485220074</v>
      </c>
      <c r="J32" s="25">
        <f t="shared" si="15"/>
        <v>0.45683563485220074</v>
      </c>
      <c r="K32" s="25">
        <f t="shared" si="15"/>
        <v>0.45683563485220074</v>
      </c>
      <c r="L32" s="25">
        <f t="shared" si="15"/>
        <v>0.45683563485220074</v>
      </c>
      <c r="M32" s="25">
        <f t="shared" si="15"/>
        <v>0.45683563485220074</v>
      </c>
      <c r="N32" s="25">
        <f t="shared" si="15"/>
        <v>0.45683563485220074</v>
      </c>
      <c r="O32" s="25">
        <f t="shared" si="15"/>
        <v>0.45683563485220074</v>
      </c>
      <c r="P32" s="25">
        <f t="shared" si="15"/>
        <v>0.45683563485220074</v>
      </c>
      <c r="Q32" s="25">
        <f t="shared" si="15"/>
        <v>0.45683563485220074</v>
      </c>
      <c r="R32" s="25">
        <f t="shared" si="15"/>
        <v>0.45683563485220074</v>
      </c>
      <c r="S32" s="25">
        <f t="shared" si="15"/>
        <v>0.45683563485220074</v>
      </c>
      <c r="T32" s="25">
        <f t="shared" si="15"/>
        <v>0.45683563485220074</v>
      </c>
      <c r="U32" s="25">
        <f t="shared" si="15"/>
        <v>0.45683563485220074</v>
      </c>
      <c r="V32" s="626"/>
      <c r="W32" s="626"/>
      <c r="X32" s="626"/>
      <c r="Y32" s="626"/>
      <c r="Z32" s="626"/>
      <c r="AA32" s="626"/>
    </row>
    <row r="33" spans="1:27" ht="15" customHeight="1">
      <c r="A33" s="4" t="s">
        <v>720</v>
      </c>
      <c r="B33" s="26">
        <v>6599.3723614256896</v>
      </c>
      <c r="C33" s="27">
        <f t="shared" ref="C33:U33" si="16">C30-C31-C34</f>
        <v>7598.4053431713219</v>
      </c>
      <c r="D33" s="27">
        <f t="shared" si="16"/>
        <v>7598.4053431713219</v>
      </c>
      <c r="E33" s="27">
        <f t="shared" si="16"/>
        <v>7598.4053431713219</v>
      </c>
      <c r="F33" s="27">
        <f t="shared" si="16"/>
        <v>7598.4053431713219</v>
      </c>
      <c r="G33" s="27">
        <f t="shared" si="16"/>
        <v>7598.4053431713219</v>
      </c>
      <c r="H33" s="27">
        <f t="shared" si="16"/>
        <v>7598.4053431713219</v>
      </c>
      <c r="I33" s="27">
        <f t="shared" si="16"/>
        <v>7598.4053431713219</v>
      </c>
      <c r="J33" s="27">
        <f t="shared" si="16"/>
        <v>7598.4053431713219</v>
      </c>
      <c r="K33" s="27">
        <f t="shared" si="16"/>
        <v>7598.4053431713219</v>
      </c>
      <c r="L33" s="27">
        <f t="shared" si="16"/>
        <v>7598.4053431713219</v>
      </c>
      <c r="M33" s="27">
        <f t="shared" si="16"/>
        <v>7598.4053431713219</v>
      </c>
      <c r="N33" s="27">
        <f t="shared" si="16"/>
        <v>7598.4053431713219</v>
      </c>
      <c r="O33" s="27">
        <f t="shared" si="16"/>
        <v>7598.4053431713219</v>
      </c>
      <c r="P33" s="27">
        <f t="shared" si="16"/>
        <v>7598.4053431713219</v>
      </c>
      <c r="Q33" s="27">
        <f t="shared" si="16"/>
        <v>7598.4053431713219</v>
      </c>
      <c r="R33" s="27">
        <f t="shared" si="16"/>
        <v>7598.4053431713219</v>
      </c>
      <c r="S33" s="27">
        <f t="shared" si="16"/>
        <v>7598.4053431713219</v>
      </c>
      <c r="T33" s="27">
        <f t="shared" si="16"/>
        <v>7598.4053431713219</v>
      </c>
      <c r="U33" s="27">
        <f t="shared" si="16"/>
        <v>7598.4053431713219</v>
      </c>
      <c r="V33" s="626" t="s">
        <v>721</v>
      </c>
      <c r="W33" s="626"/>
      <c r="X33" s="626"/>
      <c r="Y33" s="626"/>
      <c r="Z33" s="626"/>
      <c r="AA33" s="626"/>
    </row>
    <row r="34" spans="1:27" ht="15" customHeight="1">
      <c r="A34" s="4" t="s">
        <v>603</v>
      </c>
      <c r="B34" s="24">
        <v>8379.3132329</v>
      </c>
      <c r="C34" s="24">
        <v>8164.84</v>
      </c>
      <c r="D34" s="24">
        <v>8164.84</v>
      </c>
      <c r="E34" s="24">
        <v>8164.84</v>
      </c>
      <c r="F34" s="24">
        <v>8164.84</v>
      </c>
      <c r="G34" s="24">
        <v>8164.84</v>
      </c>
      <c r="H34" s="24">
        <v>8164.84</v>
      </c>
      <c r="I34" s="24">
        <v>8164.84</v>
      </c>
      <c r="J34" s="24">
        <v>8164.84</v>
      </c>
      <c r="K34" s="24">
        <v>8164.84</v>
      </c>
      <c r="L34" s="24">
        <v>8164.84</v>
      </c>
      <c r="M34" s="24">
        <v>8164.84</v>
      </c>
      <c r="N34" s="24">
        <v>8164.84</v>
      </c>
      <c r="O34" s="24">
        <v>8164.84</v>
      </c>
      <c r="P34" s="24">
        <v>8164.84</v>
      </c>
      <c r="Q34" s="24">
        <v>8164.84</v>
      </c>
      <c r="R34" s="24">
        <v>8164.84</v>
      </c>
      <c r="S34" s="24">
        <v>8164.84</v>
      </c>
      <c r="T34" s="24">
        <v>8164.84</v>
      </c>
      <c r="U34" s="24">
        <v>8164.84</v>
      </c>
      <c r="V34" s="626" t="s">
        <v>722</v>
      </c>
      <c r="W34" s="626"/>
      <c r="X34" s="626"/>
      <c r="Y34" s="626"/>
      <c r="Z34" s="626"/>
      <c r="AA34" s="626"/>
    </row>
    <row r="35" spans="1:27">
      <c r="A35" s="4"/>
      <c r="B35" s="24">
        <f t="shared" ref="B35:U35" si="17">B30-B31-B33-B34</f>
        <v>0</v>
      </c>
      <c r="C35" s="24">
        <f t="shared" si="17"/>
        <v>0</v>
      </c>
      <c r="D35" s="24">
        <f t="shared" si="17"/>
        <v>0</v>
      </c>
      <c r="E35" s="24">
        <f t="shared" si="17"/>
        <v>0</v>
      </c>
      <c r="F35" s="24">
        <f t="shared" si="17"/>
        <v>0</v>
      </c>
      <c r="G35" s="24">
        <f t="shared" si="17"/>
        <v>0</v>
      </c>
      <c r="H35" s="24">
        <f t="shared" si="17"/>
        <v>0</v>
      </c>
      <c r="I35" s="24">
        <f t="shared" si="17"/>
        <v>0</v>
      </c>
      <c r="J35" s="24">
        <f t="shared" si="17"/>
        <v>0</v>
      </c>
      <c r="K35" s="24">
        <f t="shared" si="17"/>
        <v>0</v>
      </c>
      <c r="L35" s="24">
        <f t="shared" si="17"/>
        <v>0</v>
      </c>
      <c r="M35" s="24">
        <f t="shared" si="17"/>
        <v>0</v>
      </c>
      <c r="N35" s="24">
        <f t="shared" si="17"/>
        <v>0</v>
      </c>
      <c r="O35" s="24">
        <f t="shared" si="17"/>
        <v>0</v>
      </c>
      <c r="P35" s="24">
        <f t="shared" si="17"/>
        <v>0</v>
      </c>
      <c r="Q35" s="24">
        <f t="shared" si="17"/>
        <v>0</v>
      </c>
      <c r="R35" s="24">
        <f t="shared" si="17"/>
        <v>0</v>
      </c>
      <c r="S35" s="24">
        <f t="shared" si="17"/>
        <v>0</v>
      </c>
      <c r="T35" s="24">
        <f t="shared" si="17"/>
        <v>0</v>
      </c>
      <c r="U35" s="24">
        <f t="shared" si="17"/>
        <v>0</v>
      </c>
      <c r="V35" s="626"/>
      <c r="W35" s="626"/>
      <c r="X35" s="626"/>
      <c r="Y35" s="626"/>
      <c r="Z35" s="626"/>
      <c r="AA35" s="626"/>
    </row>
  </sheetData>
  <mergeCells count="15">
    <mergeCell ref="V3:AA3"/>
    <mergeCell ref="V4:AA4"/>
    <mergeCell ref="V5:AA5"/>
    <mergeCell ref="V6:AA6"/>
    <mergeCell ref="V7:AA7"/>
    <mergeCell ref="V33:AA33"/>
    <mergeCell ref="V34:AA34"/>
    <mergeCell ref="V35:AA35"/>
    <mergeCell ref="A12:A14"/>
    <mergeCell ref="V8:AA9"/>
    <mergeCell ref="V10:AA10"/>
    <mergeCell ref="V29:AA29"/>
    <mergeCell ref="V30:AA30"/>
    <mergeCell ref="V31:AA31"/>
    <mergeCell ref="V32:AA32"/>
  </mergeCells>
  <pageMargins left="0.69791666666666696" right="0.69791666666666696" top="0.75" bottom="0.75" header="0.51041666666666696" footer="0.51041666666666696"/>
  <pageSetup paperSize="9" firstPageNumber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21"/>
  <sheetViews>
    <sheetView tabSelected="1" view="pageBreakPreview" topLeftCell="L1" zoomScale="60" zoomScaleNormal="100" workbookViewId="0">
      <selection activeCell="U1" sqref="U1:AA1"/>
    </sheetView>
  </sheetViews>
  <sheetFormatPr defaultRowHeight="15" outlineLevelCol="1"/>
  <cols>
    <col min="1" max="1" width="8.5703125" style="287" customWidth="1"/>
    <col min="2" max="2" width="54.5703125" style="2" customWidth="1"/>
    <col min="3" max="3" width="12.5703125" style="2" customWidth="1"/>
    <col min="4" max="4" width="15.42578125" style="402" customWidth="1" outlineLevel="1"/>
    <col min="5" max="8" width="15.42578125" style="403" customWidth="1" outlineLevel="1"/>
    <col min="9" max="11" width="15.42578125" style="2" customWidth="1"/>
    <col min="12" max="12" width="15.7109375" style="2" customWidth="1"/>
    <col min="13" max="27" width="15.42578125" style="2" customWidth="1"/>
    <col min="28" max="28" width="27.42578125" style="2" customWidth="1"/>
    <col min="29" max="1025" width="9.140625" style="2" customWidth="1"/>
  </cols>
  <sheetData>
    <row r="1" spans="1:1025" ht="50.25" customHeight="1">
      <c r="A1" s="571"/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3" t="s">
        <v>726</v>
      </c>
      <c r="V1" s="573"/>
      <c r="W1" s="573"/>
      <c r="X1" s="573"/>
      <c r="Y1" s="573"/>
      <c r="Z1" s="573"/>
      <c r="AA1" s="573"/>
      <c r="AB1" s="570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  <c r="DK1" s="559"/>
      <c r="DL1" s="559"/>
      <c r="DM1" s="559"/>
      <c r="DN1" s="559"/>
      <c r="DO1" s="559"/>
      <c r="DP1" s="559"/>
      <c r="DQ1" s="559"/>
      <c r="DR1" s="559"/>
      <c r="DS1" s="559"/>
      <c r="DT1" s="559"/>
      <c r="DU1" s="559"/>
      <c r="DV1" s="559"/>
      <c r="DW1" s="559"/>
      <c r="DX1" s="559"/>
      <c r="DY1" s="559"/>
      <c r="DZ1" s="559"/>
      <c r="EA1" s="559"/>
      <c r="EB1" s="559"/>
      <c r="EC1" s="559"/>
      <c r="ED1" s="559"/>
      <c r="EE1" s="559"/>
      <c r="EF1" s="559"/>
      <c r="EG1" s="559"/>
      <c r="EH1" s="559"/>
      <c r="EI1" s="559"/>
      <c r="EJ1" s="559"/>
      <c r="EK1" s="559"/>
      <c r="EL1" s="559"/>
      <c r="EM1" s="559"/>
      <c r="EN1" s="559"/>
      <c r="EO1" s="559"/>
      <c r="EP1" s="559"/>
      <c r="EQ1" s="559"/>
      <c r="ER1" s="559"/>
      <c r="ES1" s="559"/>
      <c r="ET1" s="559"/>
      <c r="EU1" s="559"/>
      <c r="EV1" s="559"/>
      <c r="EW1" s="559"/>
      <c r="EX1" s="559"/>
      <c r="EY1" s="559"/>
      <c r="EZ1" s="559"/>
      <c r="FA1" s="559"/>
      <c r="FB1" s="559"/>
      <c r="FC1" s="559"/>
      <c r="FD1" s="559"/>
      <c r="FE1" s="559"/>
      <c r="FF1" s="559"/>
      <c r="FG1" s="559"/>
      <c r="FH1" s="559"/>
      <c r="FI1" s="559"/>
      <c r="FJ1" s="559"/>
      <c r="FK1" s="559"/>
      <c r="FL1" s="559"/>
      <c r="FM1" s="559"/>
      <c r="FN1" s="559"/>
      <c r="FO1" s="559"/>
      <c r="FP1" s="559"/>
      <c r="FQ1" s="559"/>
      <c r="FR1" s="559"/>
      <c r="FS1" s="559"/>
      <c r="FT1" s="559"/>
      <c r="FU1" s="559"/>
      <c r="FV1" s="559"/>
      <c r="FW1" s="559"/>
      <c r="FX1" s="559"/>
      <c r="FY1" s="559"/>
      <c r="FZ1" s="559"/>
      <c r="GA1" s="559"/>
      <c r="GB1" s="559"/>
      <c r="GC1" s="559"/>
      <c r="GD1" s="559"/>
      <c r="GE1" s="559"/>
      <c r="GF1" s="559"/>
      <c r="GG1" s="559"/>
      <c r="GH1" s="559"/>
      <c r="GI1" s="559"/>
      <c r="GJ1" s="559"/>
      <c r="GK1" s="559"/>
      <c r="GL1" s="559"/>
      <c r="GM1" s="559"/>
      <c r="GN1" s="559"/>
      <c r="GO1" s="559"/>
      <c r="GP1" s="559"/>
      <c r="GQ1" s="559"/>
      <c r="GR1" s="559"/>
      <c r="GS1" s="559"/>
      <c r="GT1" s="559"/>
      <c r="GU1" s="559"/>
      <c r="GV1" s="559"/>
      <c r="GW1" s="559"/>
      <c r="GX1" s="559"/>
      <c r="GY1" s="559"/>
      <c r="GZ1" s="559"/>
      <c r="HA1" s="559"/>
      <c r="HB1" s="559"/>
      <c r="HC1" s="559"/>
      <c r="HD1" s="559"/>
      <c r="HE1" s="559"/>
      <c r="HF1" s="559"/>
      <c r="HG1" s="559"/>
      <c r="HH1" s="559"/>
      <c r="HI1" s="559"/>
      <c r="HJ1" s="559"/>
      <c r="HK1" s="559"/>
      <c r="HL1" s="559"/>
      <c r="HM1" s="559"/>
      <c r="HN1" s="559"/>
      <c r="HO1" s="559"/>
      <c r="HP1" s="559"/>
      <c r="HQ1" s="559"/>
      <c r="HR1" s="559"/>
      <c r="HS1" s="559"/>
      <c r="HT1" s="559"/>
      <c r="HU1" s="559"/>
      <c r="HV1" s="559"/>
      <c r="HW1" s="559"/>
      <c r="HX1" s="559"/>
      <c r="HY1" s="559"/>
      <c r="HZ1" s="559"/>
      <c r="IA1" s="559"/>
      <c r="IB1" s="559"/>
      <c r="IC1" s="559"/>
      <c r="ID1" s="559"/>
      <c r="IE1" s="559"/>
      <c r="IF1" s="559"/>
      <c r="IG1" s="559"/>
      <c r="IH1" s="559"/>
      <c r="II1" s="559"/>
      <c r="IJ1" s="559"/>
      <c r="IK1" s="559"/>
      <c r="IL1" s="559"/>
      <c r="IM1" s="559"/>
      <c r="IN1" s="559"/>
      <c r="IO1" s="559"/>
      <c r="IP1" s="559"/>
      <c r="IQ1" s="559"/>
      <c r="IR1" s="559"/>
      <c r="IS1" s="559"/>
      <c r="IT1" s="559"/>
      <c r="IU1" s="559"/>
      <c r="IV1" s="559"/>
      <c r="IW1" s="559"/>
      <c r="IX1" s="559"/>
      <c r="IY1" s="559"/>
      <c r="IZ1" s="559"/>
      <c r="JA1" s="559"/>
      <c r="JB1" s="559"/>
      <c r="JC1" s="559"/>
      <c r="JD1" s="559"/>
      <c r="JE1" s="559"/>
      <c r="JF1" s="559"/>
      <c r="JG1" s="559"/>
      <c r="JH1" s="559"/>
      <c r="JI1" s="559"/>
      <c r="JJ1" s="559"/>
      <c r="JK1" s="559"/>
      <c r="JL1" s="559"/>
      <c r="JM1" s="559"/>
      <c r="JN1" s="559"/>
      <c r="JO1" s="559"/>
      <c r="JP1" s="559"/>
      <c r="JQ1" s="559"/>
      <c r="JR1" s="559"/>
      <c r="JS1" s="559"/>
      <c r="JT1" s="559"/>
      <c r="JU1" s="559"/>
      <c r="JV1" s="559"/>
      <c r="JW1" s="559"/>
      <c r="JX1" s="559"/>
      <c r="JY1" s="559"/>
      <c r="JZ1" s="559"/>
      <c r="KA1" s="559"/>
      <c r="KB1" s="559"/>
      <c r="KC1" s="559"/>
      <c r="KD1" s="559"/>
      <c r="KE1" s="559"/>
      <c r="KF1" s="559"/>
      <c r="KG1" s="559"/>
      <c r="KH1" s="559"/>
      <c r="KI1" s="559"/>
      <c r="KJ1" s="559"/>
      <c r="KK1" s="559"/>
      <c r="KL1" s="559"/>
      <c r="KM1" s="559"/>
      <c r="KN1" s="559"/>
      <c r="KO1" s="559"/>
      <c r="KP1" s="559"/>
      <c r="KQ1" s="559"/>
      <c r="KR1" s="559"/>
      <c r="KS1" s="559"/>
      <c r="KT1" s="559"/>
      <c r="KU1" s="559"/>
      <c r="KV1" s="559"/>
      <c r="KW1" s="559"/>
      <c r="KX1" s="559"/>
      <c r="KY1" s="559"/>
      <c r="KZ1" s="559"/>
      <c r="LA1" s="559"/>
      <c r="LB1" s="559"/>
      <c r="LC1" s="559"/>
      <c r="LD1" s="559"/>
      <c r="LE1" s="559"/>
      <c r="LF1" s="559"/>
      <c r="LG1" s="559"/>
      <c r="LH1" s="559"/>
      <c r="LI1" s="559"/>
      <c r="LJ1" s="559"/>
      <c r="LK1" s="559"/>
      <c r="LL1" s="559"/>
      <c r="LM1" s="559"/>
      <c r="LN1" s="559"/>
      <c r="LO1" s="559"/>
      <c r="LP1" s="559"/>
      <c r="LQ1" s="559"/>
      <c r="LR1" s="559"/>
      <c r="LS1" s="559"/>
      <c r="LT1" s="559"/>
      <c r="LU1" s="559"/>
      <c r="LV1" s="559"/>
      <c r="LW1" s="559"/>
      <c r="LX1" s="559"/>
      <c r="LY1" s="559"/>
      <c r="LZ1" s="559"/>
      <c r="MA1" s="559"/>
      <c r="MB1" s="559"/>
      <c r="MC1" s="559"/>
      <c r="MD1" s="559"/>
      <c r="ME1" s="559"/>
      <c r="MF1" s="559"/>
      <c r="MG1" s="559"/>
      <c r="MH1" s="559"/>
      <c r="MI1" s="559"/>
      <c r="MJ1" s="559"/>
      <c r="MK1" s="559"/>
      <c r="ML1" s="559"/>
      <c r="MM1" s="559"/>
      <c r="MN1" s="559"/>
      <c r="MO1" s="559"/>
      <c r="MP1" s="559"/>
      <c r="MQ1" s="559"/>
      <c r="MR1" s="559"/>
      <c r="MS1" s="559"/>
      <c r="MT1" s="559"/>
      <c r="MU1" s="559"/>
      <c r="MV1" s="559"/>
      <c r="MW1" s="559"/>
      <c r="MX1" s="559"/>
      <c r="MY1" s="559"/>
      <c r="MZ1" s="559"/>
      <c r="NA1" s="559"/>
      <c r="NB1" s="559"/>
      <c r="NC1" s="559"/>
      <c r="ND1" s="559"/>
      <c r="NE1" s="559"/>
      <c r="NF1" s="559"/>
      <c r="NG1" s="559"/>
      <c r="NH1" s="559"/>
      <c r="NI1" s="559"/>
      <c r="NJ1" s="559"/>
      <c r="NK1" s="559"/>
      <c r="NL1" s="559"/>
      <c r="NM1" s="559"/>
      <c r="NN1" s="559"/>
      <c r="NO1" s="559"/>
      <c r="NP1" s="559"/>
      <c r="NQ1" s="559"/>
      <c r="NR1" s="559"/>
      <c r="NS1" s="559"/>
      <c r="NT1" s="559"/>
      <c r="NU1" s="559"/>
      <c r="NV1" s="559"/>
      <c r="NW1" s="559"/>
      <c r="NX1" s="559"/>
      <c r="NY1" s="559"/>
      <c r="NZ1" s="559"/>
      <c r="OA1" s="559"/>
      <c r="OB1" s="559"/>
      <c r="OC1" s="559"/>
      <c r="OD1" s="559"/>
      <c r="OE1" s="559"/>
      <c r="OF1" s="559"/>
      <c r="OG1" s="559"/>
      <c r="OH1" s="559"/>
      <c r="OI1" s="559"/>
      <c r="OJ1" s="559"/>
      <c r="OK1" s="559"/>
      <c r="OL1" s="559"/>
      <c r="OM1" s="559"/>
      <c r="ON1" s="559"/>
      <c r="OO1" s="559"/>
      <c r="OP1" s="559"/>
      <c r="OQ1" s="559"/>
      <c r="OR1" s="559"/>
      <c r="OS1" s="559"/>
      <c r="OT1" s="559"/>
      <c r="OU1" s="559"/>
      <c r="OV1" s="559"/>
      <c r="OW1" s="559"/>
      <c r="OX1" s="559"/>
      <c r="OY1" s="559"/>
      <c r="OZ1" s="559"/>
      <c r="PA1" s="559"/>
      <c r="PB1" s="559"/>
      <c r="PC1" s="559"/>
      <c r="PD1" s="559"/>
      <c r="PE1" s="559"/>
      <c r="PF1" s="559"/>
      <c r="PG1" s="559"/>
      <c r="PH1" s="559"/>
      <c r="PI1" s="559"/>
      <c r="PJ1" s="559"/>
      <c r="PK1" s="559"/>
      <c r="PL1" s="559"/>
      <c r="PM1" s="559"/>
      <c r="PN1" s="559"/>
      <c r="PO1" s="559"/>
      <c r="PP1" s="559"/>
      <c r="PQ1" s="559"/>
      <c r="PR1" s="559"/>
      <c r="PS1" s="559"/>
      <c r="PT1" s="559"/>
      <c r="PU1" s="559"/>
      <c r="PV1" s="559"/>
      <c r="PW1" s="559"/>
      <c r="PX1" s="559"/>
      <c r="PY1" s="559"/>
      <c r="PZ1" s="559"/>
      <c r="QA1" s="559"/>
      <c r="QB1" s="559"/>
      <c r="QC1" s="559"/>
      <c r="QD1" s="559"/>
      <c r="QE1" s="559"/>
      <c r="QF1" s="559"/>
      <c r="QG1" s="559"/>
      <c r="QH1" s="559"/>
      <c r="QI1" s="559"/>
      <c r="QJ1" s="559"/>
      <c r="QK1" s="559"/>
      <c r="QL1" s="559"/>
      <c r="QM1" s="559"/>
      <c r="QN1" s="559"/>
      <c r="QO1" s="559"/>
      <c r="QP1" s="559"/>
      <c r="QQ1" s="559"/>
      <c r="QR1" s="559"/>
      <c r="QS1" s="559"/>
      <c r="QT1" s="559"/>
      <c r="QU1" s="559"/>
      <c r="QV1" s="559"/>
      <c r="QW1" s="559"/>
      <c r="QX1" s="559"/>
      <c r="QY1" s="559"/>
      <c r="QZ1" s="559"/>
      <c r="RA1" s="559"/>
      <c r="RB1" s="559"/>
      <c r="RC1" s="559"/>
      <c r="RD1" s="559"/>
      <c r="RE1" s="559"/>
      <c r="RF1" s="559"/>
      <c r="RG1" s="559"/>
      <c r="RH1" s="559"/>
      <c r="RI1" s="559"/>
      <c r="RJ1" s="559"/>
      <c r="RK1" s="559"/>
      <c r="RL1" s="559"/>
      <c r="RM1" s="559"/>
      <c r="RN1" s="559"/>
      <c r="RO1" s="559"/>
      <c r="RP1" s="559"/>
      <c r="RQ1" s="559"/>
      <c r="RR1" s="559"/>
      <c r="RS1" s="559"/>
      <c r="RT1" s="559"/>
      <c r="RU1" s="559"/>
      <c r="RV1" s="559"/>
      <c r="RW1" s="559"/>
      <c r="RX1" s="559"/>
      <c r="RY1" s="559"/>
      <c r="RZ1" s="559"/>
      <c r="SA1" s="559"/>
      <c r="SB1" s="559"/>
      <c r="SC1" s="559"/>
      <c r="SD1" s="559"/>
      <c r="SE1" s="559"/>
      <c r="SF1" s="559"/>
      <c r="SG1" s="559"/>
      <c r="SH1" s="559"/>
      <c r="SI1" s="559"/>
      <c r="SJ1" s="559"/>
      <c r="SK1" s="559"/>
      <c r="SL1" s="559"/>
      <c r="SM1" s="559"/>
      <c r="SN1" s="559"/>
      <c r="SO1" s="559"/>
      <c r="SP1" s="559"/>
      <c r="SQ1" s="559"/>
      <c r="SR1" s="559"/>
      <c r="SS1" s="559"/>
      <c r="ST1" s="559"/>
      <c r="SU1" s="559"/>
      <c r="SV1" s="559"/>
      <c r="SW1" s="559"/>
      <c r="SX1" s="559"/>
      <c r="SY1" s="559"/>
      <c r="SZ1" s="559"/>
      <c r="TA1" s="559"/>
      <c r="TB1" s="559"/>
      <c r="TC1" s="559"/>
      <c r="TD1" s="559"/>
      <c r="TE1" s="559"/>
      <c r="TF1" s="559"/>
      <c r="TG1" s="559"/>
      <c r="TH1" s="559"/>
      <c r="TI1" s="559"/>
      <c r="TJ1" s="559"/>
      <c r="TK1" s="559"/>
      <c r="TL1" s="559"/>
      <c r="TM1" s="559"/>
      <c r="TN1" s="559"/>
      <c r="TO1" s="559"/>
      <c r="TP1" s="559"/>
      <c r="TQ1" s="559"/>
      <c r="TR1" s="559"/>
      <c r="TS1" s="559"/>
      <c r="TT1" s="559"/>
      <c r="TU1" s="559"/>
      <c r="TV1" s="559"/>
      <c r="TW1" s="559"/>
      <c r="TX1" s="559"/>
      <c r="TY1" s="559"/>
      <c r="TZ1" s="559"/>
      <c r="UA1" s="559"/>
      <c r="UB1" s="559"/>
      <c r="UC1" s="559"/>
      <c r="UD1" s="559"/>
      <c r="UE1" s="559"/>
      <c r="UF1" s="559"/>
      <c r="UG1" s="559"/>
      <c r="UH1" s="559"/>
      <c r="UI1" s="559"/>
      <c r="UJ1" s="559"/>
      <c r="UK1" s="559"/>
      <c r="UL1" s="559"/>
      <c r="UM1" s="559"/>
      <c r="UN1" s="559"/>
      <c r="UO1" s="559"/>
      <c r="UP1" s="559"/>
      <c r="UQ1" s="559"/>
      <c r="UR1" s="559"/>
      <c r="US1" s="559"/>
      <c r="UT1" s="559"/>
      <c r="UU1" s="559"/>
      <c r="UV1" s="559"/>
      <c r="UW1" s="559"/>
      <c r="UX1" s="559"/>
      <c r="UY1" s="559"/>
      <c r="UZ1" s="559"/>
      <c r="VA1" s="559"/>
      <c r="VB1" s="559"/>
      <c r="VC1" s="559"/>
      <c r="VD1" s="559"/>
      <c r="VE1" s="559"/>
      <c r="VF1" s="559"/>
      <c r="VG1" s="559"/>
      <c r="VH1" s="559"/>
      <c r="VI1" s="559"/>
      <c r="VJ1" s="559"/>
      <c r="VK1" s="559"/>
      <c r="VL1" s="559"/>
      <c r="VM1" s="559"/>
      <c r="VN1" s="559"/>
      <c r="VO1" s="559"/>
      <c r="VP1" s="559"/>
      <c r="VQ1" s="559"/>
      <c r="VR1" s="559"/>
      <c r="VS1" s="559"/>
      <c r="VT1" s="559"/>
      <c r="VU1" s="559"/>
      <c r="VV1" s="559"/>
      <c r="VW1" s="559"/>
      <c r="VX1" s="559"/>
      <c r="VY1" s="559"/>
      <c r="VZ1" s="559"/>
      <c r="WA1" s="559"/>
      <c r="WB1" s="559"/>
      <c r="WC1" s="559"/>
      <c r="WD1" s="559"/>
      <c r="WE1" s="559"/>
      <c r="WF1" s="559"/>
      <c r="WG1" s="559"/>
      <c r="WH1" s="559"/>
      <c r="WI1" s="559"/>
      <c r="WJ1" s="559"/>
      <c r="WK1" s="559"/>
      <c r="WL1" s="559"/>
      <c r="WM1" s="559"/>
      <c r="WN1" s="559"/>
      <c r="WO1" s="559"/>
      <c r="WP1" s="559"/>
      <c r="WQ1" s="559"/>
      <c r="WR1" s="559"/>
      <c r="WS1" s="559"/>
      <c r="WT1" s="559"/>
      <c r="WU1" s="559"/>
      <c r="WV1" s="559"/>
      <c r="WW1" s="559"/>
      <c r="WX1" s="559"/>
      <c r="WY1" s="559"/>
      <c r="WZ1" s="559"/>
      <c r="XA1" s="559"/>
      <c r="XB1" s="559"/>
      <c r="XC1" s="559"/>
      <c r="XD1" s="559"/>
      <c r="XE1" s="559"/>
      <c r="XF1" s="559"/>
      <c r="XG1" s="559"/>
      <c r="XH1" s="559"/>
      <c r="XI1" s="559"/>
      <c r="XJ1" s="559"/>
      <c r="XK1" s="559"/>
      <c r="XL1" s="559"/>
      <c r="XM1" s="559"/>
      <c r="XN1" s="559"/>
      <c r="XO1" s="559"/>
      <c r="XP1" s="559"/>
      <c r="XQ1" s="559"/>
      <c r="XR1" s="559"/>
      <c r="XS1" s="559"/>
      <c r="XT1" s="559"/>
      <c r="XU1" s="559"/>
      <c r="XV1" s="559"/>
      <c r="XW1" s="559"/>
      <c r="XX1" s="559"/>
      <c r="XY1" s="559"/>
      <c r="XZ1" s="559"/>
      <c r="YA1" s="559"/>
      <c r="YB1" s="559"/>
      <c r="YC1" s="559"/>
      <c r="YD1" s="559"/>
      <c r="YE1" s="559"/>
      <c r="YF1" s="559"/>
      <c r="YG1" s="559"/>
      <c r="YH1" s="559"/>
      <c r="YI1" s="559"/>
      <c r="YJ1" s="559"/>
      <c r="YK1" s="559"/>
      <c r="YL1" s="559"/>
      <c r="YM1" s="559"/>
      <c r="YN1" s="559"/>
      <c r="YO1" s="559"/>
      <c r="YP1" s="559"/>
      <c r="YQ1" s="559"/>
      <c r="YR1" s="559"/>
      <c r="YS1" s="559"/>
      <c r="YT1" s="559"/>
      <c r="YU1" s="559"/>
      <c r="YV1" s="559"/>
      <c r="YW1" s="559"/>
      <c r="YX1" s="559"/>
      <c r="YY1" s="559"/>
      <c r="YZ1" s="559"/>
      <c r="ZA1" s="559"/>
      <c r="ZB1" s="559"/>
      <c r="ZC1" s="559"/>
      <c r="ZD1" s="559"/>
      <c r="ZE1" s="559"/>
      <c r="ZF1" s="559"/>
      <c r="ZG1" s="559"/>
      <c r="ZH1" s="559"/>
      <c r="ZI1" s="559"/>
      <c r="ZJ1" s="559"/>
      <c r="ZK1" s="559"/>
      <c r="ZL1" s="559"/>
      <c r="ZM1" s="559"/>
      <c r="ZN1" s="559"/>
      <c r="ZO1" s="559"/>
      <c r="ZP1" s="559"/>
      <c r="ZQ1" s="559"/>
      <c r="ZR1" s="559"/>
      <c r="ZS1" s="559"/>
      <c r="ZT1" s="559"/>
      <c r="ZU1" s="559"/>
      <c r="ZV1" s="559"/>
      <c r="ZW1" s="559"/>
      <c r="ZX1" s="559"/>
      <c r="ZY1" s="559"/>
      <c r="ZZ1" s="559"/>
      <c r="AAA1" s="559"/>
      <c r="AAB1" s="559"/>
      <c r="AAC1" s="559"/>
      <c r="AAD1" s="559"/>
      <c r="AAE1" s="559"/>
      <c r="AAF1" s="559"/>
      <c r="AAG1" s="559"/>
      <c r="AAH1" s="559"/>
      <c r="AAI1" s="559"/>
      <c r="AAJ1" s="559"/>
      <c r="AAK1" s="559"/>
      <c r="AAL1" s="559"/>
      <c r="AAM1" s="559"/>
      <c r="AAN1" s="559"/>
      <c r="AAO1" s="559"/>
      <c r="AAP1" s="559"/>
      <c r="AAQ1" s="559"/>
      <c r="AAR1" s="559"/>
      <c r="AAS1" s="559"/>
      <c r="AAT1" s="559"/>
      <c r="AAU1" s="559"/>
      <c r="AAV1" s="559"/>
      <c r="AAW1" s="559"/>
      <c r="AAX1" s="559"/>
      <c r="AAY1" s="559"/>
      <c r="AAZ1" s="559"/>
      <c r="ABA1" s="559"/>
      <c r="ABB1" s="559"/>
      <c r="ABC1" s="559"/>
      <c r="ABD1" s="559"/>
      <c r="ABE1" s="559"/>
      <c r="ABF1" s="559"/>
      <c r="ABG1" s="559"/>
      <c r="ABH1" s="559"/>
      <c r="ABI1" s="559"/>
      <c r="ABJ1" s="559"/>
      <c r="ABK1" s="559"/>
      <c r="ABL1" s="559"/>
      <c r="ABM1" s="559"/>
      <c r="ABN1" s="559"/>
      <c r="ABO1" s="559"/>
      <c r="ABP1" s="559"/>
      <c r="ABQ1" s="559"/>
      <c r="ABR1" s="559"/>
      <c r="ABS1" s="559"/>
      <c r="ABT1" s="559"/>
      <c r="ABU1" s="559"/>
      <c r="ABV1" s="559"/>
      <c r="ABW1" s="559"/>
      <c r="ABX1" s="559"/>
      <c r="ABY1" s="559"/>
      <c r="ABZ1" s="559"/>
      <c r="ACA1" s="559"/>
      <c r="ACB1" s="559"/>
      <c r="ACC1" s="559"/>
      <c r="ACD1" s="559"/>
      <c r="ACE1" s="559"/>
      <c r="ACF1" s="559"/>
      <c r="ACG1" s="559"/>
      <c r="ACH1" s="559"/>
      <c r="ACI1" s="559"/>
      <c r="ACJ1" s="559"/>
      <c r="ACK1" s="559"/>
      <c r="ACL1" s="559"/>
      <c r="ACM1" s="559"/>
      <c r="ACN1" s="559"/>
      <c r="ACO1" s="559"/>
      <c r="ACP1" s="559"/>
      <c r="ACQ1" s="559"/>
      <c r="ACR1" s="559"/>
      <c r="ACS1" s="559"/>
      <c r="ACT1" s="559"/>
      <c r="ACU1" s="559"/>
      <c r="ACV1" s="559"/>
      <c r="ACW1" s="559"/>
      <c r="ACX1" s="559"/>
      <c r="ACY1" s="559"/>
      <c r="ACZ1" s="559"/>
      <c r="ADA1" s="559"/>
      <c r="ADB1" s="559"/>
      <c r="ADC1" s="559"/>
      <c r="ADD1" s="559"/>
      <c r="ADE1" s="559"/>
      <c r="ADF1" s="559"/>
      <c r="ADG1" s="559"/>
      <c r="ADH1" s="559"/>
      <c r="ADI1" s="559"/>
      <c r="ADJ1" s="559"/>
      <c r="ADK1" s="559"/>
      <c r="ADL1" s="559"/>
      <c r="ADM1" s="559"/>
      <c r="ADN1" s="559"/>
      <c r="ADO1" s="559"/>
      <c r="ADP1" s="559"/>
      <c r="ADQ1" s="559"/>
      <c r="ADR1" s="559"/>
      <c r="ADS1" s="559"/>
      <c r="ADT1" s="559"/>
      <c r="ADU1" s="559"/>
      <c r="ADV1" s="559"/>
      <c r="ADW1" s="559"/>
      <c r="ADX1" s="559"/>
      <c r="ADY1" s="559"/>
      <c r="ADZ1" s="559"/>
      <c r="AEA1" s="559"/>
      <c r="AEB1" s="559"/>
      <c r="AEC1" s="559"/>
      <c r="AED1" s="559"/>
      <c r="AEE1" s="559"/>
      <c r="AEF1" s="559"/>
      <c r="AEG1" s="559"/>
      <c r="AEH1" s="559"/>
      <c r="AEI1" s="559"/>
      <c r="AEJ1" s="559"/>
      <c r="AEK1" s="559"/>
      <c r="AEL1" s="559"/>
      <c r="AEM1" s="559"/>
      <c r="AEN1" s="559"/>
      <c r="AEO1" s="559"/>
      <c r="AEP1" s="559"/>
      <c r="AEQ1" s="559"/>
      <c r="AER1" s="559"/>
      <c r="AES1" s="559"/>
      <c r="AET1" s="559"/>
      <c r="AEU1" s="559"/>
      <c r="AEV1" s="559"/>
      <c r="AEW1" s="559"/>
      <c r="AEX1" s="559"/>
      <c r="AEY1" s="559"/>
      <c r="AEZ1" s="559"/>
      <c r="AFA1" s="559"/>
      <c r="AFB1" s="559"/>
      <c r="AFC1" s="559"/>
      <c r="AFD1" s="559"/>
      <c r="AFE1" s="559"/>
      <c r="AFF1" s="559"/>
      <c r="AFG1" s="559"/>
      <c r="AFH1" s="559"/>
      <c r="AFI1" s="559"/>
      <c r="AFJ1" s="559"/>
      <c r="AFK1" s="559"/>
      <c r="AFL1" s="559"/>
      <c r="AFM1" s="559"/>
      <c r="AFN1" s="559"/>
      <c r="AFO1" s="559"/>
      <c r="AFP1" s="559"/>
      <c r="AFQ1" s="559"/>
      <c r="AFR1" s="559"/>
      <c r="AFS1" s="559"/>
      <c r="AFT1" s="559"/>
      <c r="AFU1" s="559"/>
      <c r="AFV1" s="559"/>
      <c r="AFW1" s="559"/>
      <c r="AFX1" s="559"/>
      <c r="AFY1" s="559"/>
      <c r="AFZ1" s="559"/>
      <c r="AGA1" s="559"/>
      <c r="AGB1" s="559"/>
      <c r="AGC1" s="559"/>
      <c r="AGD1" s="559"/>
      <c r="AGE1" s="559"/>
      <c r="AGF1" s="559"/>
      <c r="AGG1" s="559"/>
      <c r="AGH1" s="559"/>
      <c r="AGI1" s="559"/>
      <c r="AGJ1" s="559"/>
      <c r="AGK1" s="559"/>
      <c r="AGL1" s="559"/>
      <c r="AGM1" s="559"/>
      <c r="AGN1" s="559"/>
      <c r="AGO1" s="559"/>
      <c r="AGP1" s="559"/>
      <c r="AGQ1" s="559"/>
      <c r="AGR1" s="559"/>
      <c r="AGS1" s="559"/>
      <c r="AGT1" s="559"/>
      <c r="AGU1" s="559"/>
      <c r="AGV1" s="559"/>
      <c r="AGW1" s="559"/>
      <c r="AGX1" s="559"/>
      <c r="AGY1" s="559"/>
      <c r="AGZ1" s="559"/>
      <c r="AHA1" s="559"/>
      <c r="AHB1" s="559"/>
      <c r="AHC1" s="559"/>
      <c r="AHD1" s="559"/>
      <c r="AHE1" s="559"/>
      <c r="AHF1" s="559"/>
      <c r="AHG1" s="559"/>
      <c r="AHH1" s="559"/>
      <c r="AHI1" s="559"/>
      <c r="AHJ1" s="559"/>
      <c r="AHK1" s="559"/>
      <c r="AHL1" s="559"/>
      <c r="AHM1" s="559"/>
      <c r="AHN1" s="559"/>
      <c r="AHO1" s="559"/>
      <c r="AHP1" s="559"/>
      <c r="AHQ1" s="559"/>
      <c r="AHR1" s="559"/>
      <c r="AHS1" s="559"/>
      <c r="AHT1" s="559"/>
      <c r="AHU1" s="559"/>
      <c r="AHV1" s="559"/>
      <c r="AHW1" s="559"/>
      <c r="AHX1" s="559"/>
      <c r="AHY1" s="559"/>
      <c r="AHZ1" s="559"/>
      <c r="AIA1" s="559"/>
      <c r="AIB1" s="559"/>
      <c r="AIC1" s="559"/>
      <c r="AID1" s="559"/>
      <c r="AIE1" s="559"/>
      <c r="AIF1" s="559"/>
      <c r="AIG1" s="559"/>
      <c r="AIH1" s="559"/>
      <c r="AII1" s="559"/>
      <c r="AIJ1" s="559"/>
      <c r="AIK1" s="559"/>
      <c r="AIL1" s="559"/>
      <c r="AIM1" s="559"/>
      <c r="AIN1" s="559"/>
      <c r="AIO1" s="559"/>
      <c r="AIP1" s="559"/>
      <c r="AIQ1" s="559"/>
      <c r="AIR1" s="559"/>
      <c r="AIS1" s="559"/>
      <c r="AIT1" s="559"/>
      <c r="AIU1" s="559"/>
      <c r="AIV1" s="559"/>
      <c r="AIW1" s="559"/>
      <c r="AIX1" s="559"/>
      <c r="AIY1" s="559"/>
      <c r="AIZ1" s="559"/>
      <c r="AJA1" s="559"/>
      <c r="AJB1" s="559"/>
      <c r="AJC1" s="559"/>
      <c r="AJD1" s="559"/>
      <c r="AJE1" s="559"/>
      <c r="AJF1" s="559"/>
      <c r="AJG1" s="559"/>
      <c r="AJH1" s="559"/>
      <c r="AJI1" s="559"/>
      <c r="AJJ1" s="559"/>
      <c r="AJK1" s="559"/>
      <c r="AJL1" s="559"/>
      <c r="AJM1" s="559"/>
      <c r="AJN1" s="559"/>
      <c r="AJO1" s="559"/>
      <c r="AJP1" s="559"/>
      <c r="AJQ1" s="559"/>
      <c r="AJR1" s="559"/>
      <c r="AJS1" s="559"/>
      <c r="AJT1" s="559"/>
      <c r="AJU1" s="559"/>
      <c r="AJV1" s="559"/>
      <c r="AJW1" s="559"/>
      <c r="AJX1" s="559"/>
      <c r="AJY1" s="559"/>
      <c r="AJZ1" s="559"/>
      <c r="AKA1" s="559"/>
      <c r="AKB1" s="559"/>
      <c r="AKC1" s="559"/>
      <c r="AKD1" s="559"/>
      <c r="AKE1" s="559"/>
      <c r="AKF1" s="559"/>
      <c r="AKG1" s="559"/>
      <c r="AKH1" s="559"/>
      <c r="AKI1" s="559"/>
      <c r="AKJ1" s="559"/>
      <c r="AKK1" s="559"/>
      <c r="AKL1" s="559"/>
      <c r="AKM1" s="559"/>
      <c r="AKN1" s="559"/>
      <c r="AKO1" s="559"/>
      <c r="AKP1" s="559"/>
      <c r="AKQ1" s="559"/>
      <c r="AKR1" s="559"/>
      <c r="AKS1" s="559"/>
      <c r="AKT1" s="559"/>
      <c r="AKU1" s="559"/>
      <c r="AKV1" s="559"/>
      <c r="AKW1" s="559"/>
      <c r="AKX1" s="559"/>
      <c r="AKY1" s="559"/>
      <c r="AKZ1" s="559"/>
      <c r="ALA1" s="559"/>
      <c r="ALB1" s="559"/>
      <c r="ALC1" s="559"/>
      <c r="ALD1" s="559"/>
      <c r="ALE1" s="559"/>
      <c r="ALF1" s="559"/>
      <c r="ALG1" s="559"/>
      <c r="ALH1" s="559"/>
      <c r="ALI1" s="559"/>
      <c r="ALJ1" s="559"/>
      <c r="ALK1" s="559"/>
      <c r="ALL1" s="559"/>
      <c r="ALM1" s="559"/>
      <c r="ALN1" s="559"/>
      <c r="ALO1" s="559"/>
      <c r="ALP1" s="559"/>
      <c r="ALQ1" s="559"/>
      <c r="ALR1" s="559"/>
      <c r="ALS1" s="559"/>
      <c r="ALT1" s="559"/>
      <c r="ALU1" s="559"/>
      <c r="ALV1" s="559"/>
      <c r="ALW1" s="559"/>
      <c r="ALX1" s="559"/>
      <c r="ALY1" s="559"/>
      <c r="ALZ1" s="559"/>
      <c r="AMA1" s="559"/>
      <c r="AMB1" s="559"/>
      <c r="AMC1" s="559"/>
      <c r="AMD1" s="559"/>
      <c r="AME1" s="559"/>
      <c r="AMF1" s="559"/>
      <c r="AMG1" s="559"/>
      <c r="AMH1" s="559"/>
      <c r="AMI1" s="559"/>
      <c r="AMJ1" s="559"/>
      <c r="AMK1" s="559"/>
    </row>
    <row r="2" spans="1:1025" s="558" customFormat="1" ht="18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2"/>
      <c r="V2" s="572"/>
      <c r="W2" s="572"/>
      <c r="X2" s="572"/>
      <c r="Y2" s="572"/>
      <c r="Z2" s="572"/>
      <c r="AA2" s="572"/>
      <c r="AB2" s="570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  <c r="DJ2" s="559"/>
      <c r="DK2" s="559"/>
      <c r="DL2" s="559"/>
      <c r="DM2" s="559"/>
      <c r="DN2" s="559"/>
      <c r="DO2" s="559"/>
      <c r="DP2" s="559"/>
      <c r="DQ2" s="559"/>
      <c r="DR2" s="559"/>
      <c r="DS2" s="559"/>
      <c r="DT2" s="559"/>
      <c r="DU2" s="559"/>
      <c r="DV2" s="559"/>
      <c r="DW2" s="559"/>
      <c r="DX2" s="559"/>
      <c r="DY2" s="559"/>
      <c r="DZ2" s="559"/>
      <c r="EA2" s="559"/>
      <c r="EB2" s="559"/>
      <c r="EC2" s="559"/>
      <c r="ED2" s="559"/>
      <c r="EE2" s="559"/>
      <c r="EF2" s="559"/>
      <c r="EG2" s="559"/>
      <c r="EH2" s="559"/>
      <c r="EI2" s="559"/>
      <c r="EJ2" s="559"/>
      <c r="EK2" s="559"/>
      <c r="EL2" s="559"/>
      <c r="EM2" s="559"/>
      <c r="EN2" s="559"/>
      <c r="EO2" s="559"/>
      <c r="EP2" s="559"/>
      <c r="EQ2" s="559"/>
      <c r="ER2" s="559"/>
      <c r="ES2" s="559"/>
      <c r="ET2" s="559"/>
      <c r="EU2" s="559"/>
      <c r="EV2" s="559"/>
      <c r="EW2" s="559"/>
      <c r="EX2" s="559"/>
      <c r="EY2" s="559"/>
      <c r="EZ2" s="559"/>
      <c r="FA2" s="559"/>
      <c r="FB2" s="559"/>
      <c r="FC2" s="559"/>
      <c r="FD2" s="559"/>
      <c r="FE2" s="559"/>
      <c r="FF2" s="559"/>
      <c r="FG2" s="559"/>
      <c r="FH2" s="559"/>
      <c r="FI2" s="559"/>
      <c r="FJ2" s="559"/>
      <c r="FK2" s="559"/>
      <c r="FL2" s="559"/>
      <c r="FM2" s="559"/>
      <c r="FN2" s="559"/>
      <c r="FO2" s="559"/>
      <c r="FP2" s="559"/>
      <c r="FQ2" s="559"/>
      <c r="FR2" s="559"/>
      <c r="FS2" s="559"/>
      <c r="FT2" s="559"/>
      <c r="FU2" s="559"/>
      <c r="FV2" s="559"/>
      <c r="FW2" s="559"/>
      <c r="FX2" s="559"/>
      <c r="FY2" s="559"/>
      <c r="FZ2" s="559"/>
      <c r="GA2" s="559"/>
      <c r="GB2" s="559"/>
      <c r="GC2" s="559"/>
      <c r="GD2" s="559"/>
      <c r="GE2" s="559"/>
      <c r="GF2" s="559"/>
      <c r="GG2" s="559"/>
      <c r="GH2" s="559"/>
      <c r="GI2" s="559"/>
      <c r="GJ2" s="559"/>
      <c r="GK2" s="559"/>
      <c r="GL2" s="559"/>
      <c r="GM2" s="559"/>
      <c r="GN2" s="559"/>
      <c r="GO2" s="559"/>
      <c r="GP2" s="559"/>
      <c r="GQ2" s="559"/>
      <c r="GR2" s="559"/>
      <c r="GS2" s="559"/>
      <c r="GT2" s="559"/>
      <c r="GU2" s="559"/>
      <c r="GV2" s="559"/>
      <c r="GW2" s="559"/>
      <c r="GX2" s="559"/>
      <c r="GY2" s="559"/>
      <c r="GZ2" s="559"/>
      <c r="HA2" s="559"/>
      <c r="HB2" s="559"/>
      <c r="HC2" s="559"/>
      <c r="HD2" s="559"/>
      <c r="HE2" s="559"/>
      <c r="HF2" s="559"/>
      <c r="HG2" s="559"/>
      <c r="HH2" s="559"/>
      <c r="HI2" s="559"/>
      <c r="HJ2" s="559"/>
      <c r="HK2" s="559"/>
      <c r="HL2" s="559"/>
      <c r="HM2" s="559"/>
      <c r="HN2" s="559"/>
      <c r="HO2" s="559"/>
      <c r="HP2" s="559"/>
      <c r="HQ2" s="559"/>
      <c r="HR2" s="559"/>
      <c r="HS2" s="559"/>
      <c r="HT2" s="559"/>
      <c r="HU2" s="559"/>
      <c r="HV2" s="559"/>
      <c r="HW2" s="559"/>
      <c r="HX2" s="559"/>
      <c r="HY2" s="559"/>
      <c r="HZ2" s="559"/>
      <c r="IA2" s="559"/>
      <c r="IB2" s="559"/>
      <c r="IC2" s="559"/>
      <c r="ID2" s="559"/>
      <c r="IE2" s="559"/>
      <c r="IF2" s="559"/>
      <c r="IG2" s="559"/>
      <c r="IH2" s="559"/>
      <c r="II2" s="559"/>
      <c r="IJ2" s="559"/>
      <c r="IK2" s="559"/>
      <c r="IL2" s="559"/>
      <c r="IM2" s="559"/>
      <c r="IN2" s="559"/>
      <c r="IO2" s="559"/>
      <c r="IP2" s="559"/>
      <c r="IQ2" s="559"/>
      <c r="IR2" s="559"/>
      <c r="IS2" s="559"/>
      <c r="IT2" s="559"/>
      <c r="IU2" s="559"/>
      <c r="IV2" s="559"/>
      <c r="IW2" s="559"/>
      <c r="IX2" s="559"/>
      <c r="IY2" s="559"/>
      <c r="IZ2" s="559"/>
      <c r="JA2" s="559"/>
      <c r="JB2" s="559"/>
      <c r="JC2" s="559"/>
      <c r="JD2" s="559"/>
      <c r="JE2" s="559"/>
      <c r="JF2" s="559"/>
      <c r="JG2" s="559"/>
      <c r="JH2" s="559"/>
      <c r="JI2" s="559"/>
      <c r="JJ2" s="559"/>
      <c r="JK2" s="559"/>
      <c r="JL2" s="559"/>
      <c r="JM2" s="559"/>
      <c r="JN2" s="559"/>
      <c r="JO2" s="559"/>
      <c r="JP2" s="559"/>
      <c r="JQ2" s="559"/>
      <c r="JR2" s="559"/>
      <c r="JS2" s="559"/>
      <c r="JT2" s="559"/>
      <c r="JU2" s="559"/>
      <c r="JV2" s="559"/>
      <c r="JW2" s="559"/>
      <c r="JX2" s="559"/>
      <c r="JY2" s="559"/>
      <c r="JZ2" s="559"/>
      <c r="KA2" s="559"/>
      <c r="KB2" s="559"/>
      <c r="KC2" s="559"/>
      <c r="KD2" s="559"/>
      <c r="KE2" s="559"/>
      <c r="KF2" s="559"/>
      <c r="KG2" s="559"/>
      <c r="KH2" s="559"/>
      <c r="KI2" s="559"/>
      <c r="KJ2" s="559"/>
      <c r="KK2" s="559"/>
      <c r="KL2" s="559"/>
      <c r="KM2" s="559"/>
      <c r="KN2" s="559"/>
      <c r="KO2" s="559"/>
      <c r="KP2" s="559"/>
      <c r="KQ2" s="559"/>
      <c r="KR2" s="559"/>
      <c r="KS2" s="559"/>
      <c r="KT2" s="559"/>
      <c r="KU2" s="559"/>
      <c r="KV2" s="559"/>
      <c r="KW2" s="559"/>
      <c r="KX2" s="559"/>
      <c r="KY2" s="559"/>
      <c r="KZ2" s="559"/>
      <c r="LA2" s="559"/>
      <c r="LB2" s="559"/>
      <c r="LC2" s="559"/>
      <c r="LD2" s="559"/>
      <c r="LE2" s="559"/>
      <c r="LF2" s="559"/>
      <c r="LG2" s="559"/>
      <c r="LH2" s="559"/>
      <c r="LI2" s="559"/>
      <c r="LJ2" s="559"/>
      <c r="LK2" s="559"/>
      <c r="LL2" s="559"/>
      <c r="LM2" s="559"/>
      <c r="LN2" s="559"/>
      <c r="LO2" s="559"/>
      <c r="LP2" s="559"/>
      <c r="LQ2" s="559"/>
      <c r="LR2" s="559"/>
      <c r="LS2" s="559"/>
      <c r="LT2" s="559"/>
      <c r="LU2" s="559"/>
      <c r="LV2" s="559"/>
      <c r="LW2" s="559"/>
      <c r="LX2" s="559"/>
      <c r="LY2" s="559"/>
      <c r="LZ2" s="559"/>
      <c r="MA2" s="559"/>
      <c r="MB2" s="559"/>
      <c r="MC2" s="559"/>
      <c r="MD2" s="559"/>
      <c r="ME2" s="559"/>
      <c r="MF2" s="559"/>
      <c r="MG2" s="559"/>
      <c r="MH2" s="559"/>
      <c r="MI2" s="559"/>
      <c r="MJ2" s="559"/>
      <c r="MK2" s="559"/>
      <c r="ML2" s="559"/>
      <c r="MM2" s="559"/>
      <c r="MN2" s="559"/>
      <c r="MO2" s="559"/>
      <c r="MP2" s="559"/>
      <c r="MQ2" s="559"/>
      <c r="MR2" s="559"/>
      <c r="MS2" s="559"/>
      <c r="MT2" s="559"/>
      <c r="MU2" s="559"/>
      <c r="MV2" s="559"/>
      <c r="MW2" s="559"/>
      <c r="MX2" s="559"/>
      <c r="MY2" s="559"/>
      <c r="MZ2" s="559"/>
      <c r="NA2" s="559"/>
      <c r="NB2" s="559"/>
      <c r="NC2" s="559"/>
      <c r="ND2" s="559"/>
      <c r="NE2" s="559"/>
      <c r="NF2" s="559"/>
      <c r="NG2" s="559"/>
      <c r="NH2" s="559"/>
      <c r="NI2" s="559"/>
      <c r="NJ2" s="559"/>
      <c r="NK2" s="559"/>
      <c r="NL2" s="559"/>
      <c r="NM2" s="559"/>
      <c r="NN2" s="559"/>
      <c r="NO2" s="559"/>
      <c r="NP2" s="559"/>
      <c r="NQ2" s="559"/>
      <c r="NR2" s="559"/>
      <c r="NS2" s="559"/>
      <c r="NT2" s="559"/>
      <c r="NU2" s="559"/>
      <c r="NV2" s="559"/>
      <c r="NW2" s="559"/>
      <c r="NX2" s="559"/>
      <c r="NY2" s="559"/>
      <c r="NZ2" s="559"/>
      <c r="OA2" s="559"/>
      <c r="OB2" s="559"/>
      <c r="OC2" s="559"/>
      <c r="OD2" s="559"/>
      <c r="OE2" s="559"/>
      <c r="OF2" s="559"/>
      <c r="OG2" s="559"/>
      <c r="OH2" s="559"/>
      <c r="OI2" s="559"/>
      <c r="OJ2" s="559"/>
      <c r="OK2" s="559"/>
      <c r="OL2" s="559"/>
      <c r="OM2" s="559"/>
      <c r="ON2" s="559"/>
      <c r="OO2" s="559"/>
      <c r="OP2" s="559"/>
      <c r="OQ2" s="559"/>
      <c r="OR2" s="559"/>
      <c r="OS2" s="559"/>
      <c r="OT2" s="559"/>
      <c r="OU2" s="559"/>
      <c r="OV2" s="559"/>
      <c r="OW2" s="559"/>
      <c r="OX2" s="559"/>
      <c r="OY2" s="559"/>
      <c r="OZ2" s="559"/>
      <c r="PA2" s="559"/>
      <c r="PB2" s="559"/>
      <c r="PC2" s="559"/>
      <c r="PD2" s="559"/>
      <c r="PE2" s="559"/>
      <c r="PF2" s="559"/>
      <c r="PG2" s="559"/>
      <c r="PH2" s="559"/>
      <c r="PI2" s="559"/>
      <c r="PJ2" s="559"/>
      <c r="PK2" s="559"/>
      <c r="PL2" s="559"/>
      <c r="PM2" s="559"/>
      <c r="PN2" s="559"/>
      <c r="PO2" s="559"/>
      <c r="PP2" s="559"/>
      <c r="PQ2" s="559"/>
      <c r="PR2" s="559"/>
      <c r="PS2" s="559"/>
      <c r="PT2" s="559"/>
      <c r="PU2" s="559"/>
      <c r="PV2" s="559"/>
      <c r="PW2" s="559"/>
      <c r="PX2" s="559"/>
      <c r="PY2" s="559"/>
      <c r="PZ2" s="559"/>
      <c r="QA2" s="559"/>
      <c r="QB2" s="559"/>
      <c r="QC2" s="559"/>
      <c r="QD2" s="559"/>
      <c r="QE2" s="559"/>
      <c r="QF2" s="559"/>
      <c r="QG2" s="559"/>
      <c r="QH2" s="559"/>
      <c r="QI2" s="559"/>
      <c r="QJ2" s="559"/>
      <c r="QK2" s="559"/>
      <c r="QL2" s="559"/>
      <c r="QM2" s="559"/>
      <c r="QN2" s="559"/>
      <c r="QO2" s="559"/>
      <c r="QP2" s="559"/>
      <c r="QQ2" s="559"/>
      <c r="QR2" s="559"/>
      <c r="QS2" s="559"/>
      <c r="QT2" s="559"/>
      <c r="QU2" s="559"/>
      <c r="QV2" s="559"/>
      <c r="QW2" s="559"/>
      <c r="QX2" s="559"/>
      <c r="QY2" s="559"/>
      <c r="QZ2" s="559"/>
      <c r="RA2" s="559"/>
      <c r="RB2" s="559"/>
      <c r="RC2" s="559"/>
      <c r="RD2" s="559"/>
      <c r="RE2" s="559"/>
      <c r="RF2" s="559"/>
      <c r="RG2" s="559"/>
      <c r="RH2" s="559"/>
      <c r="RI2" s="559"/>
      <c r="RJ2" s="559"/>
      <c r="RK2" s="559"/>
      <c r="RL2" s="559"/>
      <c r="RM2" s="559"/>
      <c r="RN2" s="559"/>
      <c r="RO2" s="559"/>
      <c r="RP2" s="559"/>
      <c r="RQ2" s="559"/>
      <c r="RR2" s="559"/>
      <c r="RS2" s="559"/>
      <c r="RT2" s="559"/>
      <c r="RU2" s="559"/>
      <c r="RV2" s="559"/>
      <c r="RW2" s="559"/>
      <c r="RX2" s="559"/>
      <c r="RY2" s="559"/>
      <c r="RZ2" s="559"/>
      <c r="SA2" s="559"/>
      <c r="SB2" s="559"/>
      <c r="SC2" s="559"/>
      <c r="SD2" s="559"/>
      <c r="SE2" s="559"/>
      <c r="SF2" s="559"/>
      <c r="SG2" s="559"/>
      <c r="SH2" s="559"/>
      <c r="SI2" s="559"/>
      <c r="SJ2" s="559"/>
      <c r="SK2" s="559"/>
      <c r="SL2" s="559"/>
      <c r="SM2" s="559"/>
      <c r="SN2" s="559"/>
      <c r="SO2" s="559"/>
      <c r="SP2" s="559"/>
      <c r="SQ2" s="559"/>
      <c r="SR2" s="559"/>
      <c r="SS2" s="559"/>
      <c r="ST2" s="559"/>
      <c r="SU2" s="559"/>
      <c r="SV2" s="559"/>
      <c r="SW2" s="559"/>
      <c r="SX2" s="559"/>
      <c r="SY2" s="559"/>
      <c r="SZ2" s="559"/>
      <c r="TA2" s="559"/>
      <c r="TB2" s="559"/>
      <c r="TC2" s="559"/>
      <c r="TD2" s="559"/>
      <c r="TE2" s="559"/>
      <c r="TF2" s="559"/>
      <c r="TG2" s="559"/>
      <c r="TH2" s="559"/>
      <c r="TI2" s="559"/>
      <c r="TJ2" s="559"/>
      <c r="TK2" s="559"/>
      <c r="TL2" s="559"/>
      <c r="TM2" s="559"/>
      <c r="TN2" s="559"/>
      <c r="TO2" s="559"/>
      <c r="TP2" s="559"/>
      <c r="TQ2" s="559"/>
      <c r="TR2" s="559"/>
      <c r="TS2" s="559"/>
      <c r="TT2" s="559"/>
      <c r="TU2" s="559"/>
      <c r="TV2" s="559"/>
      <c r="TW2" s="559"/>
      <c r="TX2" s="559"/>
      <c r="TY2" s="559"/>
      <c r="TZ2" s="559"/>
      <c r="UA2" s="559"/>
      <c r="UB2" s="559"/>
      <c r="UC2" s="559"/>
      <c r="UD2" s="559"/>
      <c r="UE2" s="559"/>
      <c r="UF2" s="559"/>
      <c r="UG2" s="559"/>
      <c r="UH2" s="559"/>
      <c r="UI2" s="559"/>
      <c r="UJ2" s="559"/>
      <c r="UK2" s="559"/>
      <c r="UL2" s="559"/>
      <c r="UM2" s="559"/>
      <c r="UN2" s="559"/>
      <c r="UO2" s="559"/>
      <c r="UP2" s="559"/>
      <c r="UQ2" s="559"/>
      <c r="UR2" s="559"/>
      <c r="US2" s="559"/>
      <c r="UT2" s="559"/>
      <c r="UU2" s="559"/>
      <c r="UV2" s="559"/>
      <c r="UW2" s="559"/>
      <c r="UX2" s="559"/>
      <c r="UY2" s="559"/>
      <c r="UZ2" s="559"/>
      <c r="VA2" s="559"/>
      <c r="VB2" s="559"/>
      <c r="VC2" s="559"/>
      <c r="VD2" s="559"/>
      <c r="VE2" s="559"/>
      <c r="VF2" s="559"/>
      <c r="VG2" s="559"/>
      <c r="VH2" s="559"/>
      <c r="VI2" s="559"/>
      <c r="VJ2" s="559"/>
      <c r="VK2" s="559"/>
      <c r="VL2" s="559"/>
      <c r="VM2" s="559"/>
      <c r="VN2" s="559"/>
      <c r="VO2" s="559"/>
      <c r="VP2" s="559"/>
      <c r="VQ2" s="559"/>
      <c r="VR2" s="559"/>
      <c r="VS2" s="559"/>
      <c r="VT2" s="559"/>
      <c r="VU2" s="559"/>
      <c r="VV2" s="559"/>
      <c r="VW2" s="559"/>
      <c r="VX2" s="559"/>
      <c r="VY2" s="559"/>
      <c r="VZ2" s="559"/>
      <c r="WA2" s="559"/>
      <c r="WB2" s="559"/>
      <c r="WC2" s="559"/>
      <c r="WD2" s="559"/>
      <c r="WE2" s="559"/>
      <c r="WF2" s="559"/>
      <c r="WG2" s="559"/>
      <c r="WH2" s="559"/>
      <c r="WI2" s="559"/>
      <c r="WJ2" s="559"/>
      <c r="WK2" s="559"/>
      <c r="WL2" s="559"/>
      <c r="WM2" s="559"/>
      <c r="WN2" s="559"/>
      <c r="WO2" s="559"/>
      <c r="WP2" s="559"/>
      <c r="WQ2" s="559"/>
      <c r="WR2" s="559"/>
      <c r="WS2" s="559"/>
      <c r="WT2" s="559"/>
      <c r="WU2" s="559"/>
      <c r="WV2" s="559"/>
      <c r="WW2" s="559"/>
      <c r="WX2" s="559"/>
      <c r="WY2" s="559"/>
      <c r="WZ2" s="559"/>
      <c r="XA2" s="559"/>
      <c r="XB2" s="559"/>
      <c r="XC2" s="559"/>
      <c r="XD2" s="559"/>
      <c r="XE2" s="559"/>
      <c r="XF2" s="559"/>
      <c r="XG2" s="559"/>
      <c r="XH2" s="559"/>
      <c r="XI2" s="559"/>
      <c r="XJ2" s="559"/>
      <c r="XK2" s="559"/>
      <c r="XL2" s="559"/>
      <c r="XM2" s="559"/>
      <c r="XN2" s="559"/>
      <c r="XO2" s="559"/>
      <c r="XP2" s="559"/>
      <c r="XQ2" s="559"/>
      <c r="XR2" s="559"/>
      <c r="XS2" s="559"/>
      <c r="XT2" s="559"/>
      <c r="XU2" s="559"/>
      <c r="XV2" s="559"/>
      <c r="XW2" s="559"/>
      <c r="XX2" s="559"/>
      <c r="XY2" s="559"/>
      <c r="XZ2" s="559"/>
      <c r="YA2" s="559"/>
      <c r="YB2" s="559"/>
      <c r="YC2" s="559"/>
      <c r="YD2" s="559"/>
      <c r="YE2" s="559"/>
      <c r="YF2" s="559"/>
      <c r="YG2" s="559"/>
      <c r="YH2" s="559"/>
      <c r="YI2" s="559"/>
      <c r="YJ2" s="559"/>
      <c r="YK2" s="559"/>
      <c r="YL2" s="559"/>
      <c r="YM2" s="559"/>
      <c r="YN2" s="559"/>
      <c r="YO2" s="559"/>
      <c r="YP2" s="559"/>
      <c r="YQ2" s="559"/>
      <c r="YR2" s="559"/>
      <c r="YS2" s="559"/>
      <c r="YT2" s="559"/>
      <c r="YU2" s="559"/>
      <c r="YV2" s="559"/>
      <c r="YW2" s="559"/>
      <c r="YX2" s="559"/>
      <c r="YY2" s="559"/>
      <c r="YZ2" s="559"/>
      <c r="ZA2" s="559"/>
      <c r="ZB2" s="559"/>
      <c r="ZC2" s="559"/>
      <c r="ZD2" s="559"/>
      <c r="ZE2" s="559"/>
      <c r="ZF2" s="559"/>
      <c r="ZG2" s="559"/>
      <c r="ZH2" s="559"/>
      <c r="ZI2" s="559"/>
      <c r="ZJ2" s="559"/>
      <c r="ZK2" s="559"/>
      <c r="ZL2" s="559"/>
      <c r="ZM2" s="559"/>
      <c r="ZN2" s="559"/>
      <c r="ZO2" s="559"/>
      <c r="ZP2" s="559"/>
      <c r="ZQ2" s="559"/>
      <c r="ZR2" s="559"/>
      <c r="ZS2" s="559"/>
      <c r="ZT2" s="559"/>
      <c r="ZU2" s="559"/>
      <c r="ZV2" s="559"/>
      <c r="ZW2" s="559"/>
      <c r="ZX2" s="559"/>
      <c r="ZY2" s="559"/>
      <c r="ZZ2" s="559"/>
      <c r="AAA2" s="559"/>
      <c r="AAB2" s="559"/>
      <c r="AAC2" s="559"/>
      <c r="AAD2" s="559"/>
      <c r="AAE2" s="559"/>
      <c r="AAF2" s="559"/>
      <c r="AAG2" s="559"/>
      <c r="AAH2" s="559"/>
      <c r="AAI2" s="559"/>
      <c r="AAJ2" s="559"/>
      <c r="AAK2" s="559"/>
      <c r="AAL2" s="559"/>
      <c r="AAM2" s="559"/>
      <c r="AAN2" s="559"/>
      <c r="AAO2" s="559"/>
      <c r="AAP2" s="559"/>
      <c r="AAQ2" s="559"/>
      <c r="AAR2" s="559"/>
      <c r="AAS2" s="559"/>
      <c r="AAT2" s="559"/>
      <c r="AAU2" s="559"/>
      <c r="AAV2" s="559"/>
      <c r="AAW2" s="559"/>
      <c r="AAX2" s="559"/>
      <c r="AAY2" s="559"/>
      <c r="AAZ2" s="559"/>
      <c r="ABA2" s="559"/>
      <c r="ABB2" s="559"/>
      <c r="ABC2" s="559"/>
      <c r="ABD2" s="559"/>
      <c r="ABE2" s="559"/>
      <c r="ABF2" s="559"/>
      <c r="ABG2" s="559"/>
      <c r="ABH2" s="559"/>
      <c r="ABI2" s="559"/>
      <c r="ABJ2" s="559"/>
      <c r="ABK2" s="559"/>
      <c r="ABL2" s="559"/>
      <c r="ABM2" s="559"/>
      <c r="ABN2" s="559"/>
      <c r="ABO2" s="559"/>
      <c r="ABP2" s="559"/>
      <c r="ABQ2" s="559"/>
      <c r="ABR2" s="559"/>
      <c r="ABS2" s="559"/>
      <c r="ABT2" s="559"/>
      <c r="ABU2" s="559"/>
      <c r="ABV2" s="559"/>
      <c r="ABW2" s="559"/>
      <c r="ABX2" s="559"/>
      <c r="ABY2" s="559"/>
      <c r="ABZ2" s="559"/>
      <c r="ACA2" s="559"/>
      <c r="ACB2" s="559"/>
      <c r="ACC2" s="559"/>
      <c r="ACD2" s="559"/>
      <c r="ACE2" s="559"/>
      <c r="ACF2" s="559"/>
      <c r="ACG2" s="559"/>
      <c r="ACH2" s="559"/>
      <c r="ACI2" s="559"/>
      <c r="ACJ2" s="559"/>
      <c r="ACK2" s="559"/>
      <c r="ACL2" s="559"/>
      <c r="ACM2" s="559"/>
      <c r="ACN2" s="559"/>
      <c r="ACO2" s="559"/>
      <c r="ACP2" s="559"/>
      <c r="ACQ2" s="559"/>
      <c r="ACR2" s="559"/>
      <c r="ACS2" s="559"/>
      <c r="ACT2" s="559"/>
      <c r="ACU2" s="559"/>
      <c r="ACV2" s="559"/>
      <c r="ACW2" s="559"/>
      <c r="ACX2" s="559"/>
      <c r="ACY2" s="559"/>
      <c r="ACZ2" s="559"/>
      <c r="ADA2" s="559"/>
      <c r="ADB2" s="559"/>
      <c r="ADC2" s="559"/>
      <c r="ADD2" s="559"/>
      <c r="ADE2" s="559"/>
      <c r="ADF2" s="559"/>
      <c r="ADG2" s="559"/>
      <c r="ADH2" s="559"/>
      <c r="ADI2" s="559"/>
      <c r="ADJ2" s="559"/>
      <c r="ADK2" s="559"/>
      <c r="ADL2" s="559"/>
      <c r="ADM2" s="559"/>
      <c r="ADN2" s="559"/>
      <c r="ADO2" s="559"/>
      <c r="ADP2" s="559"/>
      <c r="ADQ2" s="559"/>
      <c r="ADR2" s="559"/>
      <c r="ADS2" s="559"/>
      <c r="ADT2" s="559"/>
      <c r="ADU2" s="559"/>
      <c r="ADV2" s="559"/>
      <c r="ADW2" s="559"/>
      <c r="ADX2" s="559"/>
      <c r="ADY2" s="559"/>
      <c r="ADZ2" s="559"/>
      <c r="AEA2" s="559"/>
      <c r="AEB2" s="559"/>
      <c r="AEC2" s="559"/>
      <c r="AED2" s="559"/>
      <c r="AEE2" s="559"/>
      <c r="AEF2" s="559"/>
      <c r="AEG2" s="559"/>
      <c r="AEH2" s="559"/>
      <c r="AEI2" s="559"/>
      <c r="AEJ2" s="559"/>
      <c r="AEK2" s="559"/>
      <c r="AEL2" s="559"/>
      <c r="AEM2" s="559"/>
      <c r="AEN2" s="559"/>
      <c r="AEO2" s="559"/>
      <c r="AEP2" s="559"/>
      <c r="AEQ2" s="559"/>
      <c r="AER2" s="559"/>
      <c r="AES2" s="559"/>
      <c r="AET2" s="559"/>
      <c r="AEU2" s="559"/>
      <c r="AEV2" s="559"/>
      <c r="AEW2" s="559"/>
      <c r="AEX2" s="559"/>
      <c r="AEY2" s="559"/>
      <c r="AEZ2" s="559"/>
      <c r="AFA2" s="559"/>
      <c r="AFB2" s="559"/>
      <c r="AFC2" s="559"/>
      <c r="AFD2" s="559"/>
      <c r="AFE2" s="559"/>
      <c r="AFF2" s="559"/>
      <c r="AFG2" s="559"/>
      <c r="AFH2" s="559"/>
      <c r="AFI2" s="559"/>
      <c r="AFJ2" s="559"/>
      <c r="AFK2" s="559"/>
      <c r="AFL2" s="559"/>
      <c r="AFM2" s="559"/>
      <c r="AFN2" s="559"/>
      <c r="AFO2" s="559"/>
      <c r="AFP2" s="559"/>
      <c r="AFQ2" s="559"/>
      <c r="AFR2" s="559"/>
      <c r="AFS2" s="559"/>
      <c r="AFT2" s="559"/>
      <c r="AFU2" s="559"/>
      <c r="AFV2" s="559"/>
      <c r="AFW2" s="559"/>
      <c r="AFX2" s="559"/>
      <c r="AFY2" s="559"/>
      <c r="AFZ2" s="559"/>
      <c r="AGA2" s="559"/>
      <c r="AGB2" s="559"/>
      <c r="AGC2" s="559"/>
      <c r="AGD2" s="559"/>
      <c r="AGE2" s="559"/>
      <c r="AGF2" s="559"/>
      <c r="AGG2" s="559"/>
      <c r="AGH2" s="559"/>
      <c r="AGI2" s="559"/>
      <c r="AGJ2" s="559"/>
      <c r="AGK2" s="559"/>
      <c r="AGL2" s="559"/>
      <c r="AGM2" s="559"/>
      <c r="AGN2" s="559"/>
      <c r="AGO2" s="559"/>
      <c r="AGP2" s="559"/>
      <c r="AGQ2" s="559"/>
      <c r="AGR2" s="559"/>
      <c r="AGS2" s="559"/>
      <c r="AGT2" s="559"/>
      <c r="AGU2" s="559"/>
      <c r="AGV2" s="559"/>
      <c r="AGW2" s="559"/>
      <c r="AGX2" s="559"/>
      <c r="AGY2" s="559"/>
      <c r="AGZ2" s="559"/>
      <c r="AHA2" s="559"/>
      <c r="AHB2" s="559"/>
      <c r="AHC2" s="559"/>
      <c r="AHD2" s="559"/>
      <c r="AHE2" s="559"/>
      <c r="AHF2" s="559"/>
      <c r="AHG2" s="559"/>
      <c r="AHH2" s="559"/>
      <c r="AHI2" s="559"/>
      <c r="AHJ2" s="559"/>
      <c r="AHK2" s="559"/>
      <c r="AHL2" s="559"/>
      <c r="AHM2" s="559"/>
      <c r="AHN2" s="559"/>
      <c r="AHO2" s="559"/>
      <c r="AHP2" s="559"/>
      <c r="AHQ2" s="559"/>
      <c r="AHR2" s="559"/>
      <c r="AHS2" s="559"/>
      <c r="AHT2" s="559"/>
      <c r="AHU2" s="559"/>
      <c r="AHV2" s="559"/>
      <c r="AHW2" s="559"/>
      <c r="AHX2" s="559"/>
      <c r="AHY2" s="559"/>
      <c r="AHZ2" s="559"/>
      <c r="AIA2" s="559"/>
      <c r="AIB2" s="559"/>
      <c r="AIC2" s="559"/>
      <c r="AID2" s="559"/>
      <c r="AIE2" s="559"/>
      <c r="AIF2" s="559"/>
      <c r="AIG2" s="559"/>
      <c r="AIH2" s="559"/>
      <c r="AII2" s="559"/>
      <c r="AIJ2" s="559"/>
      <c r="AIK2" s="559"/>
      <c r="AIL2" s="559"/>
      <c r="AIM2" s="559"/>
      <c r="AIN2" s="559"/>
      <c r="AIO2" s="559"/>
      <c r="AIP2" s="559"/>
      <c r="AIQ2" s="559"/>
      <c r="AIR2" s="559"/>
      <c r="AIS2" s="559"/>
      <c r="AIT2" s="559"/>
      <c r="AIU2" s="559"/>
      <c r="AIV2" s="559"/>
      <c r="AIW2" s="559"/>
      <c r="AIX2" s="559"/>
      <c r="AIY2" s="559"/>
      <c r="AIZ2" s="559"/>
      <c r="AJA2" s="559"/>
      <c r="AJB2" s="559"/>
      <c r="AJC2" s="559"/>
      <c r="AJD2" s="559"/>
      <c r="AJE2" s="559"/>
      <c r="AJF2" s="559"/>
      <c r="AJG2" s="559"/>
      <c r="AJH2" s="559"/>
      <c r="AJI2" s="559"/>
      <c r="AJJ2" s="559"/>
      <c r="AJK2" s="559"/>
      <c r="AJL2" s="559"/>
      <c r="AJM2" s="559"/>
      <c r="AJN2" s="559"/>
      <c r="AJO2" s="559"/>
      <c r="AJP2" s="559"/>
      <c r="AJQ2" s="559"/>
      <c r="AJR2" s="559"/>
      <c r="AJS2" s="559"/>
      <c r="AJT2" s="559"/>
      <c r="AJU2" s="559"/>
      <c r="AJV2" s="559"/>
      <c r="AJW2" s="559"/>
      <c r="AJX2" s="559"/>
      <c r="AJY2" s="559"/>
      <c r="AJZ2" s="559"/>
      <c r="AKA2" s="559"/>
      <c r="AKB2" s="559"/>
      <c r="AKC2" s="559"/>
      <c r="AKD2" s="559"/>
      <c r="AKE2" s="559"/>
      <c r="AKF2" s="559"/>
      <c r="AKG2" s="559"/>
      <c r="AKH2" s="559"/>
      <c r="AKI2" s="559"/>
      <c r="AKJ2" s="559"/>
      <c r="AKK2" s="559"/>
      <c r="AKL2" s="559"/>
      <c r="AKM2" s="559"/>
      <c r="AKN2" s="559"/>
      <c r="AKO2" s="559"/>
      <c r="AKP2" s="559"/>
      <c r="AKQ2" s="559"/>
      <c r="AKR2" s="559"/>
      <c r="AKS2" s="559"/>
      <c r="AKT2" s="559"/>
      <c r="AKU2" s="559"/>
      <c r="AKV2" s="559"/>
      <c r="AKW2" s="559"/>
      <c r="AKX2" s="559"/>
      <c r="AKY2" s="559"/>
      <c r="AKZ2" s="559"/>
      <c r="ALA2" s="559"/>
      <c r="ALB2" s="559"/>
      <c r="ALC2" s="559"/>
      <c r="ALD2" s="559"/>
      <c r="ALE2" s="559"/>
      <c r="ALF2" s="559"/>
      <c r="ALG2" s="559"/>
      <c r="ALH2" s="559"/>
      <c r="ALI2" s="559"/>
      <c r="ALJ2" s="559"/>
      <c r="ALK2" s="559"/>
      <c r="ALL2" s="559"/>
      <c r="ALM2" s="559"/>
      <c r="ALN2" s="559"/>
      <c r="ALO2" s="559"/>
      <c r="ALP2" s="559"/>
      <c r="ALQ2" s="559"/>
      <c r="ALR2" s="559"/>
      <c r="ALS2" s="559"/>
      <c r="ALT2" s="559"/>
      <c r="ALU2" s="559"/>
      <c r="ALV2" s="559"/>
      <c r="ALW2" s="559"/>
      <c r="ALX2" s="559"/>
      <c r="ALY2" s="559"/>
      <c r="ALZ2" s="559"/>
      <c r="AMA2" s="559"/>
      <c r="AMB2" s="559"/>
      <c r="AMC2" s="559"/>
      <c r="AMD2" s="559"/>
      <c r="AME2" s="559"/>
      <c r="AMF2" s="559"/>
      <c r="AMG2" s="559"/>
      <c r="AMH2" s="559"/>
      <c r="AMI2" s="559"/>
      <c r="AMJ2" s="559"/>
      <c r="AMK2" s="559"/>
    </row>
    <row r="3" spans="1:1025" s="558" customFormat="1" ht="50.25" customHeight="1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3" t="s">
        <v>723</v>
      </c>
      <c r="V3" s="573"/>
      <c r="W3" s="573"/>
      <c r="X3" s="573"/>
      <c r="Y3" s="573"/>
      <c r="Z3" s="573"/>
      <c r="AA3" s="573"/>
      <c r="AB3" s="570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59"/>
      <c r="AN3" s="559"/>
      <c r="AO3" s="559"/>
      <c r="AP3" s="559"/>
      <c r="AQ3" s="559"/>
      <c r="AR3" s="559"/>
      <c r="AS3" s="559"/>
      <c r="AT3" s="559"/>
      <c r="AU3" s="559"/>
      <c r="AV3" s="559"/>
      <c r="AW3" s="559"/>
      <c r="AX3" s="559"/>
      <c r="AY3" s="559"/>
      <c r="AZ3" s="559"/>
      <c r="BA3" s="559"/>
      <c r="BB3" s="559"/>
      <c r="BC3" s="559"/>
      <c r="BD3" s="559"/>
      <c r="BE3" s="559"/>
      <c r="BF3" s="559"/>
      <c r="BG3" s="559"/>
      <c r="BH3" s="559"/>
      <c r="BI3" s="559"/>
      <c r="BJ3" s="559"/>
      <c r="BK3" s="559"/>
      <c r="BL3" s="559"/>
      <c r="BM3" s="559"/>
      <c r="BN3" s="559"/>
      <c r="BO3" s="559"/>
      <c r="BP3" s="559"/>
      <c r="BQ3" s="559"/>
      <c r="BR3" s="559"/>
      <c r="BS3" s="559"/>
      <c r="BT3" s="559"/>
      <c r="BU3" s="559"/>
      <c r="BV3" s="559"/>
      <c r="BW3" s="559"/>
      <c r="BX3" s="559"/>
      <c r="BY3" s="559"/>
      <c r="BZ3" s="559"/>
      <c r="CA3" s="559"/>
      <c r="CB3" s="559"/>
      <c r="CC3" s="559"/>
      <c r="CD3" s="559"/>
      <c r="CE3" s="559"/>
      <c r="CF3" s="559"/>
      <c r="CG3" s="559"/>
      <c r="CH3" s="559"/>
      <c r="CI3" s="559"/>
      <c r="CJ3" s="559"/>
      <c r="CK3" s="559"/>
      <c r="CL3" s="559"/>
      <c r="CM3" s="559"/>
      <c r="CN3" s="559"/>
      <c r="CO3" s="559"/>
      <c r="CP3" s="559"/>
      <c r="CQ3" s="559"/>
      <c r="CR3" s="559"/>
      <c r="CS3" s="559"/>
      <c r="CT3" s="559"/>
      <c r="CU3" s="559"/>
      <c r="CV3" s="559"/>
      <c r="CW3" s="559"/>
      <c r="CX3" s="559"/>
      <c r="CY3" s="559"/>
      <c r="CZ3" s="559"/>
      <c r="DA3" s="559"/>
      <c r="DB3" s="559"/>
      <c r="DC3" s="559"/>
      <c r="DD3" s="559"/>
      <c r="DE3" s="559"/>
      <c r="DF3" s="559"/>
      <c r="DG3" s="559"/>
      <c r="DH3" s="559"/>
      <c r="DI3" s="559"/>
      <c r="DJ3" s="559"/>
      <c r="DK3" s="559"/>
      <c r="DL3" s="559"/>
      <c r="DM3" s="559"/>
      <c r="DN3" s="559"/>
      <c r="DO3" s="559"/>
      <c r="DP3" s="559"/>
      <c r="DQ3" s="559"/>
      <c r="DR3" s="559"/>
      <c r="DS3" s="559"/>
      <c r="DT3" s="559"/>
      <c r="DU3" s="559"/>
      <c r="DV3" s="559"/>
      <c r="DW3" s="559"/>
      <c r="DX3" s="559"/>
      <c r="DY3" s="559"/>
      <c r="DZ3" s="559"/>
      <c r="EA3" s="559"/>
      <c r="EB3" s="559"/>
      <c r="EC3" s="559"/>
      <c r="ED3" s="559"/>
      <c r="EE3" s="559"/>
      <c r="EF3" s="559"/>
      <c r="EG3" s="559"/>
      <c r="EH3" s="559"/>
      <c r="EI3" s="559"/>
      <c r="EJ3" s="559"/>
      <c r="EK3" s="559"/>
      <c r="EL3" s="559"/>
      <c r="EM3" s="559"/>
      <c r="EN3" s="559"/>
      <c r="EO3" s="559"/>
      <c r="EP3" s="559"/>
      <c r="EQ3" s="559"/>
      <c r="ER3" s="559"/>
      <c r="ES3" s="559"/>
      <c r="ET3" s="559"/>
      <c r="EU3" s="559"/>
      <c r="EV3" s="559"/>
      <c r="EW3" s="559"/>
      <c r="EX3" s="559"/>
      <c r="EY3" s="559"/>
      <c r="EZ3" s="559"/>
      <c r="FA3" s="559"/>
      <c r="FB3" s="559"/>
      <c r="FC3" s="559"/>
      <c r="FD3" s="559"/>
      <c r="FE3" s="559"/>
      <c r="FF3" s="559"/>
      <c r="FG3" s="559"/>
      <c r="FH3" s="559"/>
      <c r="FI3" s="559"/>
      <c r="FJ3" s="559"/>
      <c r="FK3" s="559"/>
      <c r="FL3" s="559"/>
      <c r="FM3" s="559"/>
      <c r="FN3" s="559"/>
      <c r="FO3" s="559"/>
      <c r="FP3" s="559"/>
      <c r="FQ3" s="559"/>
      <c r="FR3" s="559"/>
      <c r="FS3" s="559"/>
      <c r="FT3" s="559"/>
      <c r="FU3" s="559"/>
      <c r="FV3" s="559"/>
      <c r="FW3" s="559"/>
      <c r="FX3" s="559"/>
      <c r="FY3" s="559"/>
      <c r="FZ3" s="559"/>
      <c r="GA3" s="559"/>
      <c r="GB3" s="559"/>
      <c r="GC3" s="559"/>
      <c r="GD3" s="559"/>
      <c r="GE3" s="559"/>
      <c r="GF3" s="559"/>
      <c r="GG3" s="559"/>
      <c r="GH3" s="559"/>
      <c r="GI3" s="559"/>
      <c r="GJ3" s="559"/>
      <c r="GK3" s="559"/>
      <c r="GL3" s="559"/>
      <c r="GM3" s="559"/>
      <c r="GN3" s="559"/>
      <c r="GO3" s="559"/>
      <c r="GP3" s="559"/>
      <c r="GQ3" s="559"/>
      <c r="GR3" s="559"/>
      <c r="GS3" s="559"/>
      <c r="GT3" s="559"/>
      <c r="GU3" s="559"/>
      <c r="GV3" s="559"/>
      <c r="GW3" s="559"/>
      <c r="GX3" s="559"/>
      <c r="GY3" s="559"/>
      <c r="GZ3" s="559"/>
      <c r="HA3" s="559"/>
      <c r="HB3" s="559"/>
      <c r="HC3" s="559"/>
      <c r="HD3" s="559"/>
      <c r="HE3" s="559"/>
      <c r="HF3" s="559"/>
      <c r="HG3" s="559"/>
      <c r="HH3" s="559"/>
      <c r="HI3" s="559"/>
      <c r="HJ3" s="559"/>
      <c r="HK3" s="559"/>
      <c r="HL3" s="559"/>
      <c r="HM3" s="559"/>
      <c r="HN3" s="559"/>
      <c r="HO3" s="559"/>
      <c r="HP3" s="559"/>
      <c r="HQ3" s="559"/>
      <c r="HR3" s="559"/>
      <c r="HS3" s="559"/>
      <c r="HT3" s="559"/>
      <c r="HU3" s="559"/>
      <c r="HV3" s="559"/>
      <c r="HW3" s="559"/>
      <c r="HX3" s="559"/>
      <c r="HY3" s="559"/>
      <c r="HZ3" s="559"/>
      <c r="IA3" s="559"/>
      <c r="IB3" s="559"/>
      <c r="IC3" s="559"/>
      <c r="ID3" s="559"/>
      <c r="IE3" s="559"/>
      <c r="IF3" s="559"/>
      <c r="IG3" s="559"/>
      <c r="IH3" s="559"/>
      <c r="II3" s="559"/>
      <c r="IJ3" s="559"/>
      <c r="IK3" s="559"/>
      <c r="IL3" s="559"/>
      <c r="IM3" s="559"/>
      <c r="IN3" s="559"/>
      <c r="IO3" s="559"/>
      <c r="IP3" s="559"/>
      <c r="IQ3" s="559"/>
      <c r="IR3" s="559"/>
      <c r="IS3" s="559"/>
      <c r="IT3" s="559"/>
      <c r="IU3" s="559"/>
      <c r="IV3" s="559"/>
      <c r="IW3" s="559"/>
      <c r="IX3" s="559"/>
      <c r="IY3" s="559"/>
      <c r="IZ3" s="559"/>
      <c r="JA3" s="559"/>
      <c r="JB3" s="559"/>
      <c r="JC3" s="559"/>
      <c r="JD3" s="559"/>
      <c r="JE3" s="559"/>
      <c r="JF3" s="559"/>
      <c r="JG3" s="559"/>
      <c r="JH3" s="559"/>
      <c r="JI3" s="559"/>
      <c r="JJ3" s="559"/>
      <c r="JK3" s="559"/>
      <c r="JL3" s="559"/>
      <c r="JM3" s="559"/>
      <c r="JN3" s="559"/>
      <c r="JO3" s="559"/>
      <c r="JP3" s="559"/>
      <c r="JQ3" s="559"/>
      <c r="JR3" s="559"/>
      <c r="JS3" s="559"/>
      <c r="JT3" s="559"/>
      <c r="JU3" s="559"/>
      <c r="JV3" s="559"/>
      <c r="JW3" s="559"/>
      <c r="JX3" s="559"/>
      <c r="JY3" s="559"/>
      <c r="JZ3" s="559"/>
      <c r="KA3" s="559"/>
      <c r="KB3" s="559"/>
      <c r="KC3" s="559"/>
      <c r="KD3" s="559"/>
      <c r="KE3" s="559"/>
      <c r="KF3" s="559"/>
      <c r="KG3" s="559"/>
      <c r="KH3" s="559"/>
      <c r="KI3" s="559"/>
      <c r="KJ3" s="559"/>
      <c r="KK3" s="559"/>
      <c r="KL3" s="559"/>
      <c r="KM3" s="559"/>
      <c r="KN3" s="559"/>
      <c r="KO3" s="559"/>
      <c r="KP3" s="559"/>
      <c r="KQ3" s="559"/>
      <c r="KR3" s="559"/>
      <c r="KS3" s="559"/>
      <c r="KT3" s="559"/>
      <c r="KU3" s="559"/>
      <c r="KV3" s="559"/>
      <c r="KW3" s="559"/>
      <c r="KX3" s="559"/>
      <c r="KY3" s="559"/>
      <c r="KZ3" s="559"/>
      <c r="LA3" s="559"/>
      <c r="LB3" s="559"/>
      <c r="LC3" s="559"/>
      <c r="LD3" s="559"/>
      <c r="LE3" s="559"/>
      <c r="LF3" s="559"/>
      <c r="LG3" s="559"/>
      <c r="LH3" s="559"/>
      <c r="LI3" s="559"/>
      <c r="LJ3" s="559"/>
      <c r="LK3" s="559"/>
      <c r="LL3" s="559"/>
      <c r="LM3" s="559"/>
      <c r="LN3" s="559"/>
      <c r="LO3" s="559"/>
      <c r="LP3" s="559"/>
      <c r="LQ3" s="559"/>
      <c r="LR3" s="559"/>
      <c r="LS3" s="559"/>
      <c r="LT3" s="559"/>
      <c r="LU3" s="559"/>
      <c r="LV3" s="559"/>
      <c r="LW3" s="559"/>
      <c r="LX3" s="559"/>
      <c r="LY3" s="559"/>
      <c r="LZ3" s="559"/>
      <c r="MA3" s="559"/>
      <c r="MB3" s="559"/>
      <c r="MC3" s="559"/>
      <c r="MD3" s="559"/>
      <c r="ME3" s="559"/>
      <c r="MF3" s="559"/>
      <c r="MG3" s="559"/>
      <c r="MH3" s="559"/>
      <c r="MI3" s="559"/>
      <c r="MJ3" s="559"/>
      <c r="MK3" s="559"/>
      <c r="ML3" s="559"/>
      <c r="MM3" s="559"/>
      <c r="MN3" s="559"/>
      <c r="MO3" s="559"/>
      <c r="MP3" s="559"/>
      <c r="MQ3" s="559"/>
      <c r="MR3" s="559"/>
      <c r="MS3" s="559"/>
      <c r="MT3" s="559"/>
      <c r="MU3" s="559"/>
      <c r="MV3" s="559"/>
      <c r="MW3" s="559"/>
      <c r="MX3" s="559"/>
      <c r="MY3" s="559"/>
      <c r="MZ3" s="559"/>
      <c r="NA3" s="559"/>
      <c r="NB3" s="559"/>
      <c r="NC3" s="559"/>
      <c r="ND3" s="559"/>
      <c r="NE3" s="559"/>
      <c r="NF3" s="559"/>
      <c r="NG3" s="559"/>
      <c r="NH3" s="559"/>
      <c r="NI3" s="559"/>
      <c r="NJ3" s="559"/>
      <c r="NK3" s="559"/>
      <c r="NL3" s="559"/>
      <c r="NM3" s="559"/>
      <c r="NN3" s="559"/>
      <c r="NO3" s="559"/>
      <c r="NP3" s="559"/>
      <c r="NQ3" s="559"/>
      <c r="NR3" s="559"/>
      <c r="NS3" s="559"/>
      <c r="NT3" s="559"/>
      <c r="NU3" s="559"/>
      <c r="NV3" s="559"/>
      <c r="NW3" s="559"/>
      <c r="NX3" s="559"/>
      <c r="NY3" s="559"/>
      <c r="NZ3" s="559"/>
      <c r="OA3" s="559"/>
      <c r="OB3" s="559"/>
      <c r="OC3" s="559"/>
      <c r="OD3" s="559"/>
      <c r="OE3" s="559"/>
      <c r="OF3" s="559"/>
      <c r="OG3" s="559"/>
      <c r="OH3" s="559"/>
      <c r="OI3" s="559"/>
      <c r="OJ3" s="559"/>
      <c r="OK3" s="559"/>
      <c r="OL3" s="559"/>
      <c r="OM3" s="559"/>
      <c r="ON3" s="559"/>
      <c r="OO3" s="559"/>
      <c r="OP3" s="559"/>
      <c r="OQ3" s="559"/>
      <c r="OR3" s="559"/>
      <c r="OS3" s="559"/>
      <c r="OT3" s="559"/>
      <c r="OU3" s="559"/>
      <c r="OV3" s="559"/>
      <c r="OW3" s="559"/>
      <c r="OX3" s="559"/>
      <c r="OY3" s="559"/>
      <c r="OZ3" s="559"/>
      <c r="PA3" s="559"/>
      <c r="PB3" s="559"/>
      <c r="PC3" s="559"/>
      <c r="PD3" s="559"/>
      <c r="PE3" s="559"/>
      <c r="PF3" s="559"/>
      <c r="PG3" s="559"/>
      <c r="PH3" s="559"/>
      <c r="PI3" s="559"/>
      <c r="PJ3" s="559"/>
      <c r="PK3" s="559"/>
      <c r="PL3" s="559"/>
      <c r="PM3" s="559"/>
      <c r="PN3" s="559"/>
      <c r="PO3" s="559"/>
      <c r="PP3" s="559"/>
      <c r="PQ3" s="559"/>
      <c r="PR3" s="559"/>
      <c r="PS3" s="559"/>
      <c r="PT3" s="559"/>
      <c r="PU3" s="559"/>
      <c r="PV3" s="559"/>
      <c r="PW3" s="559"/>
      <c r="PX3" s="559"/>
      <c r="PY3" s="559"/>
      <c r="PZ3" s="559"/>
      <c r="QA3" s="559"/>
      <c r="QB3" s="559"/>
      <c r="QC3" s="559"/>
      <c r="QD3" s="559"/>
      <c r="QE3" s="559"/>
      <c r="QF3" s="559"/>
      <c r="QG3" s="559"/>
      <c r="QH3" s="559"/>
      <c r="QI3" s="559"/>
      <c r="QJ3" s="559"/>
      <c r="QK3" s="559"/>
      <c r="QL3" s="559"/>
      <c r="QM3" s="559"/>
      <c r="QN3" s="559"/>
      <c r="QO3" s="559"/>
      <c r="QP3" s="559"/>
      <c r="QQ3" s="559"/>
      <c r="QR3" s="559"/>
      <c r="QS3" s="559"/>
      <c r="QT3" s="559"/>
      <c r="QU3" s="559"/>
      <c r="QV3" s="559"/>
      <c r="QW3" s="559"/>
      <c r="QX3" s="559"/>
      <c r="QY3" s="559"/>
      <c r="QZ3" s="559"/>
      <c r="RA3" s="559"/>
      <c r="RB3" s="559"/>
      <c r="RC3" s="559"/>
      <c r="RD3" s="559"/>
      <c r="RE3" s="559"/>
      <c r="RF3" s="559"/>
      <c r="RG3" s="559"/>
      <c r="RH3" s="559"/>
      <c r="RI3" s="559"/>
      <c r="RJ3" s="559"/>
      <c r="RK3" s="559"/>
      <c r="RL3" s="559"/>
      <c r="RM3" s="559"/>
      <c r="RN3" s="559"/>
      <c r="RO3" s="559"/>
      <c r="RP3" s="559"/>
      <c r="RQ3" s="559"/>
      <c r="RR3" s="559"/>
      <c r="RS3" s="559"/>
      <c r="RT3" s="559"/>
      <c r="RU3" s="559"/>
      <c r="RV3" s="559"/>
      <c r="RW3" s="559"/>
      <c r="RX3" s="559"/>
      <c r="RY3" s="559"/>
      <c r="RZ3" s="559"/>
      <c r="SA3" s="559"/>
      <c r="SB3" s="559"/>
      <c r="SC3" s="559"/>
      <c r="SD3" s="559"/>
      <c r="SE3" s="559"/>
      <c r="SF3" s="559"/>
      <c r="SG3" s="559"/>
      <c r="SH3" s="559"/>
      <c r="SI3" s="559"/>
      <c r="SJ3" s="559"/>
      <c r="SK3" s="559"/>
      <c r="SL3" s="559"/>
      <c r="SM3" s="559"/>
      <c r="SN3" s="559"/>
      <c r="SO3" s="559"/>
      <c r="SP3" s="559"/>
      <c r="SQ3" s="559"/>
      <c r="SR3" s="559"/>
      <c r="SS3" s="559"/>
      <c r="ST3" s="559"/>
      <c r="SU3" s="559"/>
      <c r="SV3" s="559"/>
      <c r="SW3" s="559"/>
      <c r="SX3" s="559"/>
      <c r="SY3" s="559"/>
      <c r="SZ3" s="559"/>
      <c r="TA3" s="559"/>
      <c r="TB3" s="559"/>
      <c r="TC3" s="559"/>
      <c r="TD3" s="559"/>
      <c r="TE3" s="559"/>
      <c r="TF3" s="559"/>
      <c r="TG3" s="559"/>
      <c r="TH3" s="559"/>
      <c r="TI3" s="559"/>
      <c r="TJ3" s="559"/>
      <c r="TK3" s="559"/>
      <c r="TL3" s="559"/>
      <c r="TM3" s="559"/>
      <c r="TN3" s="559"/>
      <c r="TO3" s="559"/>
      <c r="TP3" s="559"/>
      <c r="TQ3" s="559"/>
      <c r="TR3" s="559"/>
      <c r="TS3" s="559"/>
      <c r="TT3" s="559"/>
      <c r="TU3" s="559"/>
      <c r="TV3" s="559"/>
      <c r="TW3" s="559"/>
      <c r="TX3" s="559"/>
      <c r="TY3" s="559"/>
      <c r="TZ3" s="559"/>
      <c r="UA3" s="559"/>
      <c r="UB3" s="559"/>
      <c r="UC3" s="559"/>
      <c r="UD3" s="559"/>
      <c r="UE3" s="559"/>
      <c r="UF3" s="559"/>
      <c r="UG3" s="559"/>
      <c r="UH3" s="559"/>
      <c r="UI3" s="559"/>
      <c r="UJ3" s="559"/>
      <c r="UK3" s="559"/>
      <c r="UL3" s="559"/>
      <c r="UM3" s="559"/>
      <c r="UN3" s="559"/>
      <c r="UO3" s="559"/>
      <c r="UP3" s="559"/>
      <c r="UQ3" s="559"/>
      <c r="UR3" s="559"/>
      <c r="US3" s="559"/>
      <c r="UT3" s="559"/>
      <c r="UU3" s="559"/>
      <c r="UV3" s="559"/>
      <c r="UW3" s="559"/>
      <c r="UX3" s="559"/>
      <c r="UY3" s="559"/>
      <c r="UZ3" s="559"/>
      <c r="VA3" s="559"/>
      <c r="VB3" s="559"/>
      <c r="VC3" s="559"/>
      <c r="VD3" s="559"/>
      <c r="VE3" s="559"/>
      <c r="VF3" s="559"/>
      <c r="VG3" s="559"/>
      <c r="VH3" s="559"/>
      <c r="VI3" s="559"/>
      <c r="VJ3" s="559"/>
      <c r="VK3" s="559"/>
      <c r="VL3" s="559"/>
      <c r="VM3" s="559"/>
      <c r="VN3" s="559"/>
      <c r="VO3" s="559"/>
      <c r="VP3" s="559"/>
      <c r="VQ3" s="559"/>
      <c r="VR3" s="559"/>
      <c r="VS3" s="559"/>
      <c r="VT3" s="559"/>
      <c r="VU3" s="559"/>
      <c r="VV3" s="559"/>
      <c r="VW3" s="559"/>
      <c r="VX3" s="559"/>
      <c r="VY3" s="559"/>
      <c r="VZ3" s="559"/>
      <c r="WA3" s="559"/>
      <c r="WB3" s="559"/>
      <c r="WC3" s="559"/>
      <c r="WD3" s="559"/>
      <c r="WE3" s="559"/>
      <c r="WF3" s="559"/>
      <c r="WG3" s="559"/>
      <c r="WH3" s="559"/>
      <c r="WI3" s="559"/>
      <c r="WJ3" s="559"/>
      <c r="WK3" s="559"/>
      <c r="WL3" s="559"/>
      <c r="WM3" s="559"/>
      <c r="WN3" s="559"/>
      <c r="WO3" s="559"/>
      <c r="WP3" s="559"/>
      <c r="WQ3" s="559"/>
      <c r="WR3" s="559"/>
      <c r="WS3" s="559"/>
      <c r="WT3" s="559"/>
      <c r="WU3" s="559"/>
      <c r="WV3" s="559"/>
      <c r="WW3" s="559"/>
      <c r="WX3" s="559"/>
      <c r="WY3" s="559"/>
      <c r="WZ3" s="559"/>
      <c r="XA3" s="559"/>
      <c r="XB3" s="559"/>
      <c r="XC3" s="559"/>
      <c r="XD3" s="559"/>
      <c r="XE3" s="559"/>
      <c r="XF3" s="559"/>
      <c r="XG3" s="559"/>
      <c r="XH3" s="559"/>
      <c r="XI3" s="559"/>
      <c r="XJ3" s="559"/>
      <c r="XK3" s="559"/>
      <c r="XL3" s="559"/>
      <c r="XM3" s="559"/>
      <c r="XN3" s="559"/>
      <c r="XO3" s="559"/>
      <c r="XP3" s="559"/>
      <c r="XQ3" s="559"/>
      <c r="XR3" s="559"/>
      <c r="XS3" s="559"/>
      <c r="XT3" s="559"/>
      <c r="XU3" s="559"/>
      <c r="XV3" s="559"/>
      <c r="XW3" s="559"/>
      <c r="XX3" s="559"/>
      <c r="XY3" s="559"/>
      <c r="XZ3" s="559"/>
      <c r="YA3" s="559"/>
      <c r="YB3" s="559"/>
      <c r="YC3" s="559"/>
      <c r="YD3" s="559"/>
      <c r="YE3" s="559"/>
      <c r="YF3" s="559"/>
      <c r="YG3" s="559"/>
      <c r="YH3" s="559"/>
      <c r="YI3" s="559"/>
      <c r="YJ3" s="559"/>
      <c r="YK3" s="559"/>
      <c r="YL3" s="559"/>
      <c r="YM3" s="559"/>
      <c r="YN3" s="559"/>
      <c r="YO3" s="559"/>
      <c r="YP3" s="559"/>
      <c r="YQ3" s="559"/>
      <c r="YR3" s="559"/>
      <c r="YS3" s="559"/>
      <c r="YT3" s="559"/>
      <c r="YU3" s="559"/>
      <c r="YV3" s="559"/>
      <c r="YW3" s="559"/>
      <c r="YX3" s="559"/>
      <c r="YY3" s="559"/>
      <c r="YZ3" s="559"/>
      <c r="ZA3" s="559"/>
      <c r="ZB3" s="559"/>
      <c r="ZC3" s="559"/>
      <c r="ZD3" s="559"/>
      <c r="ZE3" s="559"/>
      <c r="ZF3" s="559"/>
      <c r="ZG3" s="559"/>
      <c r="ZH3" s="559"/>
      <c r="ZI3" s="559"/>
      <c r="ZJ3" s="559"/>
      <c r="ZK3" s="559"/>
      <c r="ZL3" s="559"/>
      <c r="ZM3" s="559"/>
      <c r="ZN3" s="559"/>
      <c r="ZO3" s="559"/>
      <c r="ZP3" s="559"/>
      <c r="ZQ3" s="559"/>
      <c r="ZR3" s="559"/>
      <c r="ZS3" s="559"/>
      <c r="ZT3" s="559"/>
      <c r="ZU3" s="559"/>
      <c r="ZV3" s="559"/>
      <c r="ZW3" s="559"/>
      <c r="ZX3" s="559"/>
      <c r="ZY3" s="559"/>
      <c r="ZZ3" s="559"/>
      <c r="AAA3" s="559"/>
      <c r="AAB3" s="559"/>
      <c r="AAC3" s="559"/>
      <c r="AAD3" s="559"/>
      <c r="AAE3" s="559"/>
      <c r="AAF3" s="559"/>
      <c r="AAG3" s="559"/>
      <c r="AAH3" s="559"/>
      <c r="AAI3" s="559"/>
      <c r="AAJ3" s="559"/>
      <c r="AAK3" s="559"/>
      <c r="AAL3" s="559"/>
      <c r="AAM3" s="559"/>
      <c r="AAN3" s="559"/>
      <c r="AAO3" s="559"/>
      <c r="AAP3" s="559"/>
      <c r="AAQ3" s="559"/>
      <c r="AAR3" s="559"/>
      <c r="AAS3" s="559"/>
      <c r="AAT3" s="559"/>
      <c r="AAU3" s="559"/>
      <c r="AAV3" s="559"/>
      <c r="AAW3" s="559"/>
      <c r="AAX3" s="559"/>
      <c r="AAY3" s="559"/>
      <c r="AAZ3" s="559"/>
      <c r="ABA3" s="559"/>
      <c r="ABB3" s="559"/>
      <c r="ABC3" s="559"/>
      <c r="ABD3" s="559"/>
      <c r="ABE3" s="559"/>
      <c r="ABF3" s="559"/>
      <c r="ABG3" s="559"/>
      <c r="ABH3" s="559"/>
      <c r="ABI3" s="559"/>
      <c r="ABJ3" s="559"/>
      <c r="ABK3" s="559"/>
      <c r="ABL3" s="559"/>
      <c r="ABM3" s="559"/>
      <c r="ABN3" s="559"/>
      <c r="ABO3" s="559"/>
      <c r="ABP3" s="559"/>
      <c r="ABQ3" s="559"/>
      <c r="ABR3" s="559"/>
      <c r="ABS3" s="559"/>
      <c r="ABT3" s="559"/>
      <c r="ABU3" s="559"/>
      <c r="ABV3" s="559"/>
      <c r="ABW3" s="559"/>
      <c r="ABX3" s="559"/>
      <c r="ABY3" s="559"/>
      <c r="ABZ3" s="559"/>
      <c r="ACA3" s="559"/>
      <c r="ACB3" s="559"/>
      <c r="ACC3" s="559"/>
      <c r="ACD3" s="559"/>
      <c r="ACE3" s="559"/>
      <c r="ACF3" s="559"/>
      <c r="ACG3" s="559"/>
      <c r="ACH3" s="559"/>
      <c r="ACI3" s="559"/>
      <c r="ACJ3" s="559"/>
      <c r="ACK3" s="559"/>
      <c r="ACL3" s="559"/>
      <c r="ACM3" s="559"/>
      <c r="ACN3" s="559"/>
      <c r="ACO3" s="559"/>
      <c r="ACP3" s="559"/>
      <c r="ACQ3" s="559"/>
      <c r="ACR3" s="559"/>
      <c r="ACS3" s="559"/>
      <c r="ACT3" s="559"/>
      <c r="ACU3" s="559"/>
      <c r="ACV3" s="559"/>
      <c r="ACW3" s="559"/>
      <c r="ACX3" s="559"/>
      <c r="ACY3" s="559"/>
      <c r="ACZ3" s="559"/>
      <c r="ADA3" s="559"/>
      <c r="ADB3" s="559"/>
      <c r="ADC3" s="559"/>
      <c r="ADD3" s="559"/>
      <c r="ADE3" s="559"/>
      <c r="ADF3" s="559"/>
      <c r="ADG3" s="559"/>
      <c r="ADH3" s="559"/>
      <c r="ADI3" s="559"/>
      <c r="ADJ3" s="559"/>
      <c r="ADK3" s="559"/>
      <c r="ADL3" s="559"/>
      <c r="ADM3" s="559"/>
      <c r="ADN3" s="559"/>
      <c r="ADO3" s="559"/>
      <c r="ADP3" s="559"/>
      <c r="ADQ3" s="559"/>
      <c r="ADR3" s="559"/>
      <c r="ADS3" s="559"/>
      <c r="ADT3" s="559"/>
      <c r="ADU3" s="559"/>
      <c r="ADV3" s="559"/>
      <c r="ADW3" s="559"/>
      <c r="ADX3" s="559"/>
      <c r="ADY3" s="559"/>
      <c r="ADZ3" s="559"/>
      <c r="AEA3" s="559"/>
      <c r="AEB3" s="559"/>
      <c r="AEC3" s="559"/>
      <c r="AED3" s="559"/>
      <c r="AEE3" s="559"/>
      <c r="AEF3" s="559"/>
      <c r="AEG3" s="559"/>
      <c r="AEH3" s="559"/>
      <c r="AEI3" s="559"/>
      <c r="AEJ3" s="559"/>
      <c r="AEK3" s="559"/>
      <c r="AEL3" s="559"/>
      <c r="AEM3" s="559"/>
      <c r="AEN3" s="559"/>
      <c r="AEO3" s="559"/>
      <c r="AEP3" s="559"/>
      <c r="AEQ3" s="559"/>
      <c r="AER3" s="559"/>
      <c r="AES3" s="559"/>
      <c r="AET3" s="559"/>
      <c r="AEU3" s="559"/>
      <c r="AEV3" s="559"/>
      <c r="AEW3" s="559"/>
      <c r="AEX3" s="559"/>
      <c r="AEY3" s="559"/>
      <c r="AEZ3" s="559"/>
      <c r="AFA3" s="559"/>
      <c r="AFB3" s="559"/>
      <c r="AFC3" s="559"/>
      <c r="AFD3" s="559"/>
      <c r="AFE3" s="559"/>
      <c r="AFF3" s="559"/>
      <c r="AFG3" s="559"/>
      <c r="AFH3" s="559"/>
      <c r="AFI3" s="559"/>
      <c r="AFJ3" s="559"/>
      <c r="AFK3" s="559"/>
      <c r="AFL3" s="559"/>
      <c r="AFM3" s="559"/>
      <c r="AFN3" s="559"/>
      <c r="AFO3" s="559"/>
      <c r="AFP3" s="559"/>
      <c r="AFQ3" s="559"/>
      <c r="AFR3" s="559"/>
      <c r="AFS3" s="559"/>
      <c r="AFT3" s="559"/>
      <c r="AFU3" s="559"/>
      <c r="AFV3" s="559"/>
      <c r="AFW3" s="559"/>
      <c r="AFX3" s="559"/>
      <c r="AFY3" s="559"/>
      <c r="AFZ3" s="559"/>
      <c r="AGA3" s="559"/>
      <c r="AGB3" s="559"/>
      <c r="AGC3" s="559"/>
      <c r="AGD3" s="559"/>
      <c r="AGE3" s="559"/>
      <c r="AGF3" s="559"/>
      <c r="AGG3" s="559"/>
      <c r="AGH3" s="559"/>
      <c r="AGI3" s="559"/>
      <c r="AGJ3" s="559"/>
      <c r="AGK3" s="559"/>
      <c r="AGL3" s="559"/>
      <c r="AGM3" s="559"/>
      <c r="AGN3" s="559"/>
      <c r="AGO3" s="559"/>
      <c r="AGP3" s="559"/>
      <c r="AGQ3" s="559"/>
      <c r="AGR3" s="559"/>
      <c r="AGS3" s="559"/>
      <c r="AGT3" s="559"/>
      <c r="AGU3" s="559"/>
      <c r="AGV3" s="559"/>
      <c r="AGW3" s="559"/>
      <c r="AGX3" s="559"/>
      <c r="AGY3" s="559"/>
      <c r="AGZ3" s="559"/>
      <c r="AHA3" s="559"/>
      <c r="AHB3" s="559"/>
      <c r="AHC3" s="559"/>
      <c r="AHD3" s="559"/>
      <c r="AHE3" s="559"/>
      <c r="AHF3" s="559"/>
      <c r="AHG3" s="559"/>
      <c r="AHH3" s="559"/>
      <c r="AHI3" s="559"/>
      <c r="AHJ3" s="559"/>
      <c r="AHK3" s="559"/>
      <c r="AHL3" s="559"/>
      <c r="AHM3" s="559"/>
      <c r="AHN3" s="559"/>
      <c r="AHO3" s="559"/>
      <c r="AHP3" s="559"/>
      <c r="AHQ3" s="559"/>
      <c r="AHR3" s="559"/>
      <c r="AHS3" s="559"/>
      <c r="AHT3" s="559"/>
      <c r="AHU3" s="559"/>
      <c r="AHV3" s="559"/>
      <c r="AHW3" s="559"/>
      <c r="AHX3" s="559"/>
      <c r="AHY3" s="559"/>
      <c r="AHZ3" s="559"/>
      <c r="AIA3" s="559"/>
      <c r="AIB3" s="559"/>
      <c r="AIC3" s="559"/>
      <c r="AID3" s="559"/>
      <c r="AIE3" s="559"/>
      <c r="AIF3" s="559"/>
      <c r="AIG3" s="559"/>
      <c r="AIH3" s="559"/>
      <c r="AII3" s="559"/>
      <c r="AIJ3" s="559"/>
      <c r="AIK3" s="559"/>
      <c r="AIL3" s="559"/>
      <c r="AIM3" s="559"/>
      <c r="AIN3" s="559"/>
      <c r="AIO3" s="559"/>
      <c r="AIP3" s="559"/>
      <c r="AIQ3" s="559"/>
      <c r="AIR3" s="559"/>
      <c r="AIS3" s="559"/>
      <c r="AIT3" s="559"/>
      <c r="AIU3" s="559"/>
      <c r="AIV3" s="559"/>
      <c r="AIW3" s="559"/>
      <c r="AIX3" s="559"/>
      <c r="AIY3" s="559"/>
      <c r="AIZ3" s="559"/>
      <c r="AJA3" s="559"/>
      <c r="AJB3" s="559"/>
      <c r="AJC3" s="559"/>
      <c r="AJD3" s="559"/>
      <c r="AJE3" s="559"/>
      <c r="AJF3" s="559"/>
      <c r="AJG3" s="559"/>
      <c r="AJH3" s="559"/>
      <c r="AJI3" s="559"/>
      <c r="AJJ3" s="559"/>
      <c r="AJK3" s="559"/>
      <c r="AJL3" s="559"/>
      <c r="AJM3" s="559"/>
      <c r="AJN3" s="559"/>
      <c r="AJO3" s="559"/>
      <c r="AJP3" s="559"/>
      <c r="AJQ3" s="559"/>
      <c r="AJR3" s="559"/>
      <c r="AJS3" s="559"/>
      <c r="AJT3" s="559"/>
      <c r="AJU3" s="559"/>
      <c r="AJV3" s="559"/>
      <c r="AJW3" s="559"/>
      <c r="AJX3" s="559"/>
      <c r="AJY3" s="559"/>
      <c r="AJZ3" s="559"/>
      <c r="AKA3" s="559"/>
      <c r="AKB3" s="559"/>
      <c r="AKC3" s="559"/>
      <c r="AKD3" s="559"/>
      <c r="AKE3" s="559"/>
      <c r="AKF3" s="559"/>
      <c r="AKG3" s="559"/>
      <c r="AKH3" s="559"/>
      <c r="AKI3" s="559"/>
      <c r="AKJ3" s="559"/>
      <c r="AKK3" s="559"/>
      <c r="AKL3" s="559"/>
      <c r="AKM3" s="559"/>
      <c r="AKN3" s="559"/>
      <c r="AKO3" s="559"/>
      <c r="AKP3" s="559"/>
      <c r="AKQ3" s="559"/>
      <c r="AKR3" s="559"/>
      <c r="AKS3" s="559"/>
      <c r="AKT3" s="559"/>
      <c r="AKU3" s="559"/>
      <c r="AKV3" s="559"/>
      <c r="AKW3" s="559"/>
      <c r="AKX3" s="559"/>
      <c r="AKY3" s="559"/>
      <c r="AKZ3" s="559"/>
      <c r="ALA3" s="559"/>
      <c r="ALB3" s="559"/>
      <c r="ALC3" s="559"/>
      <c r="ALD3" s="559"/>
      <c r="ALE3" s="559"/>
      <c r="ALF3" s="559"/>
      <c r="ALG3" s="559"/>
      <c r="ALH3" s="559"/>
      <c r="ALI3" s="559"/>
      <c r="ALJ3" s="559"/>
      <c r="ALK3" s="559"/>
      <c r="ALL3" s="559"/>
      <c r="ALM3" s="559"/>
      <c r="ALN3" s="559"/>
      <c r="ALO3" s="559"/>
      <c r="ALP3" s="559"/>
      <c r="ALQ3" s="559"/>
      <c r="ALR3" s="559"/>
      <c r="ALS3" s="559"/>
      <c r="ALT3" s="559"/>
      <c r="ALU3" s="559"/>
      <c r="ALV3" s="559"/>
      <c r="ALW3" s="559"/>
      <c r="ALX3" s="559"/>
      <c r="ALY3" s="559"/>
      <c r="ALZ3" s="559"/>
      <c r="AMA3" s="559"/>
      <c r="AMB3" s="559"/>
      <c r="AMC3" s="559"/>
      <c r="AMD3" s="559"/>
      <c r="AME3" s="559"/>
      <c r="AMF3" s="559"/>
      <c r="AMG3" s="559"/>
      <c r="AMH3" s="559"/>
      <c r="AMI3" s="559"/>
      <c r="AMJ3" s="559"/>
      <c r="AMK3" s="559"/>
    </row>
    <row r="4" spans="1:1025" s="558" customFormat="1" ht="15.75" customHeight="1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8"/>
      <c r="V4" s="568"/>
      <c r="W4" s="568"/>
      <c r="X4" s="568"/>
      <c r="Y4" s="568"/>
      <c r="Z4" s="568"/>
      <c r="AA4" s="568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59"/>
      <c r="AU4" s="559"/>
      <c r="AV4" s="559"/>
      <c r="AW4" s="559"/>
      <c r="AX4" s="559"/>
      <c r="AY4" s="559"/>
      <c r="AZ4" s="559"/>
      <c r="BA4" s="559"/>
      <c r="BB4" s="559"/>
      <c r="BC4" s="559"/>
      <c r="BD4" s="559"/>
      <c r="BE4" s="559"/>
      <c r="BF4" s="559"/>
      <c r="BG4" s="559"/>
      <c r="BH4" s="559"/>
      <c r="BI4" s="559"/>
      <c r="BJ4" s="559"/>
      <c r="BK4" s="559"/>
      <c r="BL4" s="559"/>
      <c r="BM4" s="559"/>
      <c r="BN4" s="559"/>
      <c r="BO4" s="559"/>
      <c r="BP4" s="559"/>
      <c r="BQ4" s="559"/>
      <c r="BR4" s="559"/>
      <c r="BS4" s="559"/>
      <c r="BT4" s="559"/>
      <c r="BU4" s="559"/>
      <c r="BV4" s="559"/>
      <c r="BW4" s="559"/>
      <c r="BX4" s="559"/>
      <c r="BY4" s="559"/>
      <c r="BZ4" s="559"/>
      <c r="CA4" s="559"/>
      <c r="CB4" s="559"/>
      <c r="CC4" s="559"/>
      <c r="CD4" s="559"/>
      <c r="CE4" s="559"/>
      <c r="CF4" s="559"/>
      <c r="CG4" s="559"/>
      <c r="CH4" s="559"/>
      <c r="CI4" s="559"/>
      <c r="CJ4" s="559"/>
      <c r="CK4" s="559"/>
      <c r="CL4" s="559"/>
      <c r="CM4" s="559"/>
      <c r="CN4" s="559"/>
      <c r="CO4" s="559"/>
      <c r="CP4" s="559"/>
      <c r="CQ4" s="559"/>
      <c r="CR4" s="559"/>
      <c r="CS4" s="559"/>
      <c r="CT4" s="559"/>
      <c r="CU4" s="559"/>
      <c r="CV4" s="559"/>
      <c r="CW4" s="559"/>
      <c r="CX4" s="559"/>
      <c r="CY4" s="559"/>
      <c r="CZ4" s="559"/>
      <c r="DA4" s="559"/>
      <c r="DB4" s="559"/>
      <c r="DC4" s="559"/>
      <c r="DD4" s="559"/>
      <c r="DE4" s="559"/>
      <c r="DF4" s="559"/>
      <c r="DG4" s="559"/>
      <c r="DH4" s="559"/>
      <c r="DI4" s="559"/>
      <c r="DJ4" s="559"/>
      <c r="DK4" s="559"/>
      <c r="DL4" s="559"/>
      <c r="DM4" s="559"/>
      <c r="DN4" s="559"/>
      <c r="DO4" s="559"/>
      <c r="DP4" s="559"/>
      <c r="DQ4" s="559"/>
      <c r="DR4" s="559"/>
      <c r="DS4" s="559"/>
      <c r="DT4" s="559"/>
      <c r="DU4" s="559"/>
      <c r="DV4" s="559"/>
      <c r="DW4" s="559"/>
      <c r="DX4" s="559"/>
      <c r="DY4" s="559"/>
      <c r="DZ4" s="559"/>
      <c r="EA4" s="559"/>
      <c r="EB4" s="559"/>
      <c r="EC4" s="559"/>
      <c r="ED4" s="559"/>
      <c r="EE4" s="559"/>
      <c r="EF4" s="559"/>
      <c r="EG4" s="559"/>
      <c r="EH4" s="559"/>
      <c r="EI4" s="559"/>
      <c r="EJ4" s="559"/>
      <c r="EK4" s="559"/>
      <c r="EL4" s="559"/>
      <c r="EM4" s="559"/>
      <c r="EN4" s="559"/>
      <c r="EO4" s="559"/>
      <c r="EP4" s="559"/>
      <c r="EQ4" s="559"/>
      <c r="ER4" s="559"/>
      <c r="ES4" s="559"/>
      <c r="ET4" s="559"/>
      <c r="EU4" s="559"/>
      <c r="EV4" s="559"/>
      <c r="EW4" s="559"/>
      <c r="EX4" s="559"/>
      <c r="EY4" s="559"/>
      <c r="EZ4" s="559"/>
      <c r="FA4" s="559"/>
      <c r="FB4" s="559"/>
      <c r="FC4" s="559"/>
      <c r="FD4" s="559"/>
      <c r="FE4" s="559"/>
      <c r="FF4" s="559"/>
      <c r="FG4" s="559"/>
      <c r="FH4" s="559"/>
      <c r="FI4" s="559"/>
      <c r="FJ4" s="559"/>
      <c r="FK4" s="559"/>
      <c r="FL4" s="559"/>
      <c r="FM4" s="559"/>
      <c r="FN4" s="559"/>
      <c r="FO4" s="559"/>
      <c r="FP4" s="559"/>
      <c r="FQ4" s="559"/>
      <c r="FR4" s="559"/>
      <c r="FS4" s="559"/>
      <c r="FT4" s="559"/>
      <c r="FU4" s="559"/>
      <c r="FV4" s="559"/>
      <c r="FW4" s="559"/>
      <c r="FX4" s="559"/>
      <c r="FY4" s="559"/>
      <c r="FZ4" s="559"/>
      <c r="GA4" s="559"/>
      <c r="GB4" s="559"/>
      <c r="GC4" s="559"/>
      <c r="GD4" s="559"/>
      <c r="GE4" s="559"/>
      <c r="GF4" s="559"/>
      <c r="GG4" s="559"/>
      <c r="GH4" s="559"/>
      <c r="GI4" s="559"/>
      <c r="GJ4" s="559"/>
      <c r="GK4" s="559"/>
      <c r="GL4" s="559"/>
      <c r="GM4" s="559"/>
      <c r="GN4" s="559"/>
      <c r="GO4" s="559"/>
      <c r="GP4" s="559"/>
      <c r="GQ4" s="559"/>
      <c r="GR4" s="559"/>
      <c r="GS4" s="559"/>
      <c r="GT4" s="559"/>
      <c r="GU4" s="559"/>
      <c r="GV4" s="559"/>
      <c r="GW4" s="559"/>
      <c r="GX4" s="559"/>
      <c r="GY4" s="559"/>
      <c r="GZ4" s="559"/>
      <c r="HA4" s="559"/>
      <c r="HB4" s="559"/>
      <c r="HC4" s="559"/>
      <c r="HD4" s="559"/>
      <c r="HE4" s="559"/>
      <c r="HF4" s="559"/>
      <c r="HG4" s="559"/>
      <c r="HH4" s="559"/>
      <c r="HI4" s="559"/>
      <c r="HJ4" s="559"/>
      <c r="HK4" s="559"/>
      <c r="HL4" s="559"/>
      <c r="HM4" s="559"/>
      <c r="HN4" s="559"/>
      <c r="HO4" s="559"/>
      <c r="HP4" s="559"/>
      <c r="HQ4" s="559"/>
      <c r="HR4" s="559"/>
      <c r="HS4" s="559"/>
      <c r="HT4" s="559"/>
      <c r="HU4" s="559"/>
      <c r="HV4" s="559"/>
      <c r="HW4" s="559"/>
      <c r="HX4" s="559"/>
      <c r="HY4" s="559"/>
      <c r="HZ4" s="559"/>
      <c r="IA4" s="559"/>
      <c r="IB4" s="559"/>
      <c r="IC4" s="559"/>
      <c r="ID4" s="559"/>
      <c r="IE4" s="559"/>
      <c r="IF4" s="559"/>
      <c r="IG4" s="559"/>
      <c r="IH4" s="559"/>
      <c r="II4" s="559"/>
      <c r="IJ4" s="559"/>
      <c r="IK4" s="559"/>
      <c r="IL4" s="559"/>
      <c r="IM4" s="559"/>
      <c r="IN4" s="559"/>
      <c r="IO4" s="559"/>
      <c r="IP4" s="559"/>
      <c r="IQ4" s="559"/>
      <c r="IR4" s="559"/>
      <c r="IS4" s="559"/>
      <c r="IT4" s="559"/>
      <c r="IU4" s="559"/>
      <c r="IV4" s="559"/>
      <c r="IW4" s="559"/>
      <c r="IX4" s="559"/>
      <c r="IY4" s="559"/>
      <c r="IZ4" s="559"/>
      <c r="JA4" s="559"/>
      <c r="JB4" s="559"/>
      <c r="JC4" s="559"/>
      <c r="JD4" s="559"/>
      <c r="JE4" s="559"/>
      <c r="JF4" s="559"/>
      <c r="JG4" s="559"/>
      <c r="JH4" s="559"/>
      <c r="JI4" s="559"/>
      <c r="JJ4" s="559"/>
      <c r="JK4" s="559"/>
      <c r="JL4" s="559"/>
      <c r="JM4" s="559"/>
      <c r="JN4" s="559"/>
      <c r="JO4" s="559"/>
      <c r="JP4" s="559"/>
      <c r="JQ4" s="559"/>
      <c r="JR4" s="559"/>
      <c r="JS4" s="559"/>
      <c r="JT4" s="559"/>
      <c r="JU4" s="559"/>
      <c r="JV4" s="559"/>
      <c r="JW4" s="559"/>
      <c r="JX4" s="559"/>
      <c r="JY4" s="559"/>
      <c r="JZ4" s="559"/>
      <c r="KA4" s="559"/>
      <c r="KB4" s="559"/>
      <c r="KC4" s="559"/>
      <c r="KD4" s="559"/>
      <c r="KE4" s="559"/>
      <c r="KF4" s="559"/>
      <c r="KG4" s="559"/>
      <c r="KH4" s="559"/>
      <c r="KI4" s="559"/>
      <c r="KJ4" s="559"/>
      <c r="KK4" s="559"/>
      <c r="KL4" s="559"/>
      <c r="KM4" s="559"/>
      <c r="KN4" s="559"/>
      <c r="KO4" s="559"/>
      <c r="KP4" s="559"/>
      <c r="KQ4" s="559"/>
      <c r="KR4" s="559"/>
      <c r="KS4" s="559"/>
      <c r="KT4" s="559"/>
      <c r="KU4" s="559"/>
      <c r="KV4" s="559"/>
      <c r="KW4" s="559"/>
      <c r="KX4" s="559"/>
      <c r="KY4" s="559"/>
      <c r="KZ4" s="559"/>
      <c r="LA4" s="559"/>
      <c r="LB4" s="559"/>
      <c r="LC4" s="559"/>
      <c r="LD4" s="559"/>
      <c r="LE4" s="559"/>
      <c r="LF4" s="559"/>
      <c r="LG4" s="559"/>
      <c r="LH4" s="559"/>
      <c r="LI4" s="559"/>
      <c r="LJ4" s="559"/>
      <c r="LK4" s="559"/>
      <c r="LL4" s="559"/>
      <c r="LM4" s="559"/>
      <c r="LN4" s="559"/>
      <c r="LO4" s="559"/>
      <c r="LP4" s="559"/>
      <c r="LQ4" s="559"/>
      <c r="LR4" s="559"/>
      <c r="LS4" s="559"/>
      <c r="LT4" s="559"/>
      <c r="LU4" s="559"/>
      <c r="LV4" s="559"/>
      <c r="LW4" s="559"/>
      <c r="LX4" s="559"/>
      <c r="LY4" s="559"/>
      <c r="LZ4" s="559"/>
      <c r="MA4" s="559"/>
      <c r="MB4" s="559"/>
      <c r="MC4" s="559"/>
      <c r="MD4" s="559"/>
      <c r="ME4" s="559"/>
      <c r="MF4" s="559"/>
      <c r="MG4" s="559"/>
      <c r="MH4" s="559"/>
      <c r="MI4" s="559"/>
      <c r="MJ4" s="559"/>
      <c r="MK4" s="559"/>
      <c r="ML4" s="559"/>
      <c r="MM4" s="559"/>
      <c r="MN4" s="559"/>
      <c r="MO4" s="559"/>
      <c r="MP4" s="559"/>
      <c r="MQ4" s="559"/>
      <c r="MR4" s="559"/>
      <c r="MS4" s="559"/>
      <c r="MT4" s="559"/>
      <c r="MU4" s="559"/>
      <c r="MV4" s="559"/>
      <c r="MW4" s="559"/>
      <c r="MX4" s="559"/>
      <c r="MY4" s="559"/>
      <c r="MZ4" s="559"/>
      <c r="NA4" s="559"/>
      <c r="NB4" s="559"/>
      <c r="NC4" s="559"/>
      <c r="ND4" s="559"/>
      <c r="NE4" s="559"/>
      <c r="NF4" s="559"/>
      <c r="NG4" s="559"/>
      <c r="NH4" s="559"/>
      <c r="NI4" s="559"/>
      <c r="NJ4" s="559"/>
      <c r="NK4" s="559"/>
      <c r="NL4" s="559"/>
      <c r="NM4" s="559"/>
      <c r="NN4" s="559"/>
      <c r="NO4" s="559"/>
      <c r="NP4" s="559"/>
      <c r="NQ4" s="559"/>
      <c r="NR4" s="559"/>
      <c r="NS4" s="559"/>
      <c r="NT4" s="559"/>
      <c r="NU4" s="559"/>
      <c r="NV4" s="559"/>
      <c r="NW4" s="559"/>
      <c r="NX4" s="559"/>
      <c r="NY4" s="559"/>
      <c r="NZ4" s="559"/>
      <c r="OA4" s="559"/>
      <c r="OB4" s="559"/>
      <c r="OC4" s="559"/>
      <c r="OD4" s="559"/>
      <c r="OE4" s="559"/>
      <c r="OF4" s="559"/>
      <c r="OG4" s="559"/>
      <c r="OH4" s="559"/>
      <c r="OI4" s="559"/>
      <c r="OJ4" s="559"/>
      <c r="OK4" s="559"/>
      <c r="OL4" s="559"/>
      <c r="OM4" s="559"/>
      <c r="ON4" s="559"/>
      <c r="OO4" s="559"/>
      <c r="OP4" s="559"/>
      <c r="OQ4" s="559"/>
      <c r="OR4" s="559"/>
      <c r="OS4" s="559"/>
      <c r="OT4" s="559"/>
      <c r="OU4" s="559"/>
      <c r="OV4" s="559"/>
      <c r="OW4" s="559"/>
      <c r="OX4" s="559"/>
      <c r="OY4" s="559"/>
      <c r="OZ4" s="559"/>
      <c r="PA4" s="559"/>
      <c r="PB4" s="559"/>
      <c r="PC4" s="559"/>
      <c r="PD4" s="559"/>
      <c r="PE4" s="559"/>
      <c r="PF4" s="559"/>
      <c r="PG4" s="559"/>
      <c r="PH4" s="559"/>
      <c r="PI4" s="559"/>
      <c r="PJ4" s="559"/>
      <c r="PK4" s="559"/>
      <c r="PL4" s="559"/>
      <c r="PM4" s="559"/>
      <c r="PN4" s="559"/>
      <c r="PO4" s="559"/>
      <c r="PP4" s="559"/>
      <c r="PQ4" s="559"/>
      <c r="PR4" s="559"/>
      <c r="PS4" s="559"/>
      <c r="PT4" s="559"/>
      <c r="PU4" s="559"/>
      <c r="PV4" s="559"/>
      <c r="PW4" s="559"/>
      <c r="PX4" s="559"/>
      <c r="PY4" s="559"/>
      <c r="PZ4" s="559"/>
      <c r="QA4" s="559"/>
      <c r="QB4" s="559"/>
      <c r="QC4" s="559"/>
      <c r="QD4" s="559"/>
      <c r="QE4" s="559"/>
      <c r="QF4" s="559"/>
      <c r="QG4" s="559"/>
      <c r="QH4" s="559"/>
      <c r="QI4" s="559"/>
      <c r="QJ4" s="559"/>
      <c r="QK4" s="559"/>
      <c r="QL4" s="559"/>
      <c r="QM4" s="559"/>
      <c r="QN4" s="559"/>
      <c r="QO4" s="559"/>
      <c r="QP4" s="559"/>
      <c r="QQ4" s="559"/>
      <c r="QR4" s="559"/>
      <c r="QS4" s="559"/>
      <c r="QT4" s="559"/>
      <c r="QU4" s="559"/>
      <c r="QV4" s="559"/>
      <c r="QW4" s="559"/>
      <c r="QX4" s="559"/>
      <c r="QY4" s="559"/>
      <c r="QZ4" s="559"/>
      <c r="RA4" s="559"/>
      <c r="RB4" s="559"/>
      <c r="RC4" s="559"/>
      <c r="RD4" s="559"/>
      <c r="RE4" s="559"/>
      <c r="RF4" s="559"/>
      <c r="RG4" s="559"/>
      <c r="RH4" s="559"/>
      <c r="RI4" s="559"/>
      <c r="RJ4" s="559"/>
      <c r="RK4" s="559"/>
      <c r="RL4" s="559"/>
      <c r="RM4" s="559"/>
      <c r="RN4" s="559"/>
      <c r="RO4" s="559"/>
      <c r="RP4" s="559"/>
      <c r="RQ4" s="559"/>
      <c r="RR4" s="559"/>
      <c r="RS4" s="559"/>
      <c r="RT4" s="559"/>
      <c r="RU4" s="559"/>
      <c r="RV4" s="559"/>
      <c r="RW4" s="559"/>
      <c r="RX4" s="559"/>
      <c r="RY4" s="559"/>
      <c r="RZ4" s="559"/>
      <c r="SA4" s="559"/>
      <c r="SB4" s="559"/>
      <c r="SC4" s="559"/>
      <c r="SD4" s="559"/>
      <c r="SE4" s="559"/>
      <c r="SF4" s="559"/>
      <c r="SG4" s="559"/>
      <c r="SH4" s="559"/>
      <c r="SI4" s="559"/>
      <c r="SJ4" s="559"/>
      <c r="SK4" s="559"/>
      <c r="SL4" s="559"/>
      <c r="SM4" s="559"/>
      <c r="SN4" s="559"/>
      <c r="SO4" s="559"/>
      <c r="SP4" s="559"/>
      <c r="SQ4" s="559"/>
      <c r="SR4" s="559"/>
      <c r="SS4" s="559"/>
      <c r="ST4" s="559"/>
      <c r="SU4" s="559"/>
      <c r="SV4" s="559"/>
      <c r="SW4" s="559"/>
      <c r="SX4" s="559"/>
      <c r="SY4" s="559"/>
      <c r="SZ4" s="559"/>
      <c r="TA4" s="559"/>
      <c r="TB4" s="559"/>
      <c r="TC4" s="559"/>
      <c r="TD4" s="559"/>
      <c r="TE4" s="559"/>
      <c r="TF4" s="559"/>
      <c r="TG4" s="559"/>
      <c r="TH4" s="559"/>
      <c r="TI4" s="559"/>
      <c r="TJ4" s="559"/>
      <c r="TK4" s="559"/>
      <c r="TL4" s="559"/>
      <c r="TM4" s="559"/>
      <c r="TN4" s="559"/>
      <c r="TO4" s="559"/>
      <c r="TP4" s="559"/>
      <c r="TQ4" s="559"/>
      <c r="TR4" s="559"/>
      <c r="TS4" s="559"/>
      <c r="TT4" s="559"/>
      <c r="TU4" s="559"/>
      <c r="TV4" s="559"/>
      <c r="TW4" s="559"/>
      <c r="TX4" s="559"/>
      <c r="TY4" s="559"/>
      <c r="TZ4" s="559"/>
      <c r="UA4" s="559"/>
      <c r="UB4" s="559"/>
      <c r="UC4" s="559"/>
      <c r="UD4" s="559"/>
      <c r="UE4" s="559"/>
      <c r="UF4" s="559"/>
      <c r="UG4" s="559"/>
      <c r="UH4" s="559"/>
      <c r="UI4" s="559"/>
      <c r="UJ4" s="559"/>
      <c r="UK4" s="559"/>
      <c r="UL4" s="559"/>
      <c r="UM4" s="559"/>
      <c r="UN4" s="559"/>
      <c r="UO4" s="559"/>
      <c r="UP4" s="559"/>
      <c r="UQ4" s="559"/>
      <c r="UR4" s="559"/>
      <c r="US4" s="559"/>
      <c r="UT4" s="559"/>
      <c r="UU4" s="559"/>
      <c r="UV4" s="559"/>
      <c r="UW4" s="559"/>
      <c r="UX4" s="559"/>
      <c r="UY4" s="559"/>
      <c r="UZ4" s="559"/>
      <c r="VA4" s="559"/>
      <c r="VB4" s="559"/>
      <c r="VC4" s="559"/>
      <c r="VD4" s="559"/>
      <c r="VE4" s="559"/>
      <c r="VF4" s="559"/>
      <c r="VG4" s="559"/>
      <c r="VH4" s="559"/>
      <c r="VI4" s="559"/>
      <c r="VJ4" s="559"/>
      <c r="VK4" s="559"/>
      <c r="VL4" s="559"/>
      <c r="VM4" s="559"/>
      <c r="VN4" s="559"/>
      <c r="VO4" s="559"/>
      <c r="VP4" s="559"/>
      <c r="VQ4" s="559"/>
      <c r="VR4" s="559"/>
      <c r="VS4" s="559"/>
      <c r="VT4" s="559"/>
      <c r="VU4" s="559"/>
      <c r="VV4" s="559"/>
      <c r="VW4" s="559"/>
      <c r="VX4" s="559"/>
      <c r="VY4" s="559"/>
      <c r="VZ4" s="559"/>
      <c r="WA4" s="559"/>
      <c r="WB4" s="559"/>
      <c r="WC4" s="559"/>
      <c r="WD4" s="559"/>
      <c r="WE4" s="559"/>
      <c r="WF4" s="559"/>
      <c r="WG4" s="559"/>
      <c r="WH4" s="559"/>
      <c r="WI4" s="559"/>
      <c r="WJ4" s="559"/>
      <c r="WK4" s="559"/>
      <c r="WL4" s="559"/>
      <c r="WM4" s="559"/>
      <c r="WN4" s="559"/>
      <c r="WO4" s="559"/>
      <c r="WP4" s="559"/>
      <c r="WQ4" s="559"/>
      <c r="WR4" s="559"/>
      <c r="WS4" s="559"/>
      <c r="WT4" s="559"/>
      <c r="WU4" s="559"/>
      <c r="WV4" s="559"/>
      <c r="WW4" s="559"/>
      <c r="WX4" s="559"/>
      <c r="WY4" s="559"/>
      <c r="WZ4" s="559"/>
      <c r="XA4" s="559"/>
      <c r="XB4" s="559"/>
      <c r="XC4" s="559"/>
      <c r="XD4" s="559"/>
      <c r="XE4" s="559"/>
      <c r="XF4" s="559"/>
      <c r="XG4" s="559"/>
      <c r="XH4" s="559"/>
      <c r="XI4" s="559"/>
      <c r="XJ4" s="559"/>
      <c r="XK4" s="559"/>
      <c r="XL4" s="559"/>
      <c r="XM4" s="559"/>
      <c r="XN4" s="559"/>
      <c r="XO4" s="559"/>
      <c r="XP4" s="559"/>
      <c r="XQ4" s="559"/>
      <c r="XR4" s="559"/>
      <c r="XS4" s="559"/>
      <c r="XT4" s="559"/>
      <c r="XU4" s="559"/>
      <c r="XV4" s="559"/>
      <c r="XW4" s="559"/>
      <c r="XX4" s="559"/>
      <c r="XY4" s="559"/>
      <c r="XZ4" s="559"/>
      <c r="YA4" s="559"/>
      <c r="YB4" s="559"/>
      <c r="YC4" s="559"/>
      <c r="YD4" s="559"/>
      <c r="YE4" s="559"/>
      <c r="YF4" s="559"/>
      <c r="YG4" s="559"/>
      <c r="YH4" s="559"/>
      <c r="YI4" s="559"/>
      <c r="YJ4" s="559"/>
      <c r="YK4" s="559"/>
      <c r="YL4" s="559"/>
      <c r="YM4" s="559"/>
      <c r="YN4" s="559"/>
      <c r="YO4" s="559"/>
      <c r="YP4" s="559"/>
      <c r="YQ4" s="559"/>
      <c r="YR4" s="559"/>
      <c r="YS4" s="559"/>
      <c r="YT4" s="559"/>
      <c r="YU4" s="559"/>
      <c r="YV4" s="559"/>
      <c r="YW4" s="559"/>
      <c r="YX4" s="559"/>
      <c r="YY4" s="559"/>
      <c r="YZ4" s="559"/>
      <c r="ZA4" s="559"/>
      <c r="ZB4" s="559"/>
      <c r="ZC4" s="559"/>
      <c r="ZD4" s="559"/>
      <c r="ZE4" s="559"/>
      <c r="ZF4" s="559"/>
      <c r="ZG4" s="559"/>
      <c r="ZH4" s="559"/>
      <c r="ZI4" s="559"/>
      <c r="ZJ4" s="559"/>
      <c r="ZK4" s="559"/>
      <c r="ZL4" s="559"/>
      <c r="ZM4" s="559"/>
      <c r="ZN4" s="559"/>
      <c r="ZO4" s="559"/>
      <c r="ZP4" s="559"/>
      <c r="ZQ4" s="559"/>
      <c r="ZR4" s="559"/>
      <c r="ZS4" s="559"/>
      <c r="ZT4" s="559"/>
      <c r="ZU4" s="559"/>
      <c r="ZV4" s="559"/>
      <c r="ZW4" s="559"/>
      <c r="ZX4" s="559"/>
      <c r="ZY4" s="559"/>
      <c r="ZZ4" s="559"/>
      <c r="AAA4" s="559"/>
      <c r="AAB4" s="559"/>
      <c r="AAC4" s="559"/>
      <c r="AAD4" s="559"/>
      <c r="AAE4" s="559"/>
      <c r="AAF4" s="559"/>
      <c r="AAG4" s="559"/>
      <c r="AAH4" s="559"/>
      <c r="AAI4" s="559"/>
      <c r="AAJ4" s="559"/>
      <c r="AAK4" s="559"/>
      <c r="AAL4" s="559"/>
      <c r="AAM4" s="559"/>
      <c r="AAN4" s="559"/>
      <c r="AAO4" s="559"/>
      <c r="AAP4" s="559"/>
      <c r="AAQ4" s="559"/>
      <c r="AAR4" s="559"/>
      <c r="AAS4" s="559"/>
      <c r="AAT4" s="559"/>
      <c r="AAU4" s="559"/>
      <c r="AAV4" s="559"/>
      <c r="AAW4" s="559"/>
      <c r="AAX4" s="559"/>
      <c r="AAY4" s="559"/>
      <c r="AAZ4" s="559"/>
      <c r="ABA4" s="559"/>
      <c r="ABB4" s="559"/>
      <c r="ABC4" s="559"/>
      <c r="ABD4" s="559"/>
      <c r="ABE4" s="559"/>
      <c r="ABF4" s="559"/>
      <c r="ABG4" s="559"/>
      <c r="ABH4" s="559"/>
      <c r="ABI4" s="559"/>
      <c r="ABJ4" s="559"/>
      <c r="ABK4" s="559"/>
      <c r="ABL4" s="559"/>
      <c r="ABM4" s="559"/>
      <c r="ABN4" s="559"/>
      <c r="ABO4" s="559"/>
      <c r="ABP4" s="559"/>
      <c r="ABQ4" s="559"/>
      <c r="ABR4" s="559"/>
      <c r="ABS4" s="559"/>
      <c r="ABT4" s="559"/>
      <c r="ABU4" s="559"/>
      <c r="ABV4" s="559"/>
      <c r="ABW4" s="559"/>
      <c r="ABX4" s="559"/>
      <c r="ABY4" s="559"/>
      <c r="ABZ4" s="559"/>
      <c r="ACA4" s="559"/>
      <c r="ACB4" s="559"/>
      <c r="ACC4" s="559"/>
      <c r="ACD4" s="559"/>
      <c r="ACE4" s="559"/>
      <c r="ACF4" s="559"/>
      <c r="ACG4" s="559"/>
      <c r="ACH4" s="559"/>
      <c r="ACI4" s="559"/>
      <c r="ACJ4" s="559"/>
      <c r="ACK4" s="559"/>
      <c r="ACL4" s="559"/>
      <c r="ACM4" s="559"/>
      <c r="ACN4" s="559"/>
      <c r="ACO4" s="559"/>
      <c r="ACP4" s="559"/>
      <c r="ACQ4" s="559"/>
      <c r="ACR4" s="559"/>
      <c r="ACS4" s="559"/>
      <c r="ACT4" s="559"/>
      <c r="ACU4" s="559"/>
      <c r="ACV4" s="559"/>
      <c r="ACW4" s="559"/>
      <c r="ACX4" s="559"/>
      <c r="ACY4" s="559"/>
      <c r="ACZ4" s="559"/>
      <c r="ADA4" s="559"/>
      <c r="ADB4" s="559"/>
      <c r="ADC4" s="559"/>
      <c r="ADD4" s="559"/>
      <c r="ADE4" s="559"/>
      <c r="ADF4" s="559"/>
      <c r="ADG4" s="559"/>
      <c r="ADH4" s="559"/>
      <c r="ADI4" s="559"/>
      <c r="ADJ4" s="559"/>
      <c r="ADK4" s="559"/>
      <c r="ADL4" s="559"/>
      <c r="ADM4" s="559"/>
      <c r="ADN4" s="559"/>
      <c r="ADO4" s="559"/>
      <c r="ADP4" s="559"/>
      <c r="ADQ4" s="559"/>
      <c r="ADR4" s="559"/>
      <c r="ADS4" s="559"/>
      <c r="ADT4" s="559"/>
      <c r="ADU4" s="559"/>
      <c r="ADV4" s="559"/>
      <c r="ADW4" s="559"/>
      <c r="ADX4" s="559"/>
      <c r="ADY4" s="559"/>
      <c r="ADZ4" s="559"/>
      <c r="AEA4" s="559"/>
      <c r="AEB4" s="559"/>
      <c r="AEC4" s="559"/>
      <c r="AED4" s="559"/>
      <c r="AEE4" s="559"/>
      <c r="AEF4" s="559"/>
      <c r="AEG4" s="559"/>
      <c r="AEH4" s="559"/>
      <c r="AEI4" s="559"/>
      <c r="AEJ4" s="559"/>
      <c r="AEK4" s="559"/>
      <c r="AEL4" s="559"/>
      <c r="AEM4" s="559"/>
      <c r="AEN4" s="559"/>
      <c r="AEO4" s="559"/>
      <c r="AEP4" s="559"/>
      <c r="AEQ4" s="559"/>
      <c r="AER4" s="559"/>
      <c r="AES4" s="559"/>
      <c r="AET4" s="559"/>
      <c r="AEU4" s="559"/>
      <c r="AEV4" s="559"/>
      <c r="AEW4" s="559"/>
      <c r="AEX4" s="559"/>
      <c r="AEY4" s="559"/>
      <c r="AEZ4" s="559"/>
      <c r="AFA4" s="559"/>
      <c r="AFB4" s="559"/>
      <c r="AFC4" s="559"/>
      <c r="AFD4" s="559"/>
      <c r="AFE4" s="559"/>
      <c r="AFF4" s="559"/>
      <c r="AFG4" s="559"/>
      <c r="AFH4" s="559"/>
      <c r="AFI4" s="559"/>
      <c r="AFJ4" s="559"/>
      <c r="AFK4" s="559"/>
      <c r="AFL4" s="559"/>
      <c r="AFM4" s="559"/>
      <c r="AFN4" s="559"/>
      <c r="AFO4" s="559"/>
      <c r="AFP4" s="559"/>
      <c r="AFQ4" s="559"/>
      <c r="AFR4" s="559"/>
      <c r="AFS4" s="559"/>
      <c r="AFT4" s="559"/>
      <c r="AFU4" s="559"/>
      <c r="AFV4" s="559"/>
      <c r="AFW4" s="559"/>
      <c r="AFX4" s="559"/>
      <c r="AFY4" s="559"/>
      <c r="AFZ4" s="559"/>
      <c r="AGA4" s="559"/>
      <c r="AGB4" s="559"/>
      <c r="AGC4" s="559"/>
      <c r="AGD4" s="559"/>
      <c r="AGE4" s="559"/>
      <c r="AGF4" s="559"/>
      <c r="AGG4" s="559"/>
      <c r="AGH4" s="559"/>
      <c r="AGI4" s="559"/>
      <c r="AGJ4" s="559"/>
      <c r="AGK4" s="559"/>
      <c r="AGL4" s="559"/>
      <c r="AGM4" s="559"/>
      <c r="AGN4" s="559"/>
      <c r="AGO4" s="559"/>
      <c r="AGP4" s="559"/>
      <c r="AGQ4" s="559"/>
      <c r="AGR4" s="559"/>
      <c r="AGS4" s="559"/>
      <c r="AGT4" s="559"/>
      <c r="AGU4" s="559"/>
      <c r="AGV4" s="559"/>
      <c r="AGW4" s="559"/>
      <c r="AGX4" s="559"/>
      <c r="AGY4" s="559"/>
      <c r="AGZ4" s="559"/>
      <c r="AHA4" s="559"/>
      <c r="AHB4" s="559"/>
      <c r="AHC4" s="559"/>
      <c r="AHD4" s="559"/>
      <c r="AHE4" s="559"/>
      <c r="AHF4" s="559"/>
      <c r="AHG4" s="559"/>
      <c r="AHH4" s="559"/>
      <c r="AHI4" s="559"/>
      <c r="AHJ4" s="559"/>
      <c r="AHK4" s="559"/>
      <c r="AHL4" s="559"/>
      <c r="AHM4" s="559"/>
      <c r="AHN4" s="559"/>
      <c r="AHO4" s="559"/>
      <c r="AHP4" s="559"/>
      <c r="AHQ4" s="559"/>
      <c r="AHR4" s="559"/>
      <c r="AHS4" s="559"/>
      <c r="AHT4" s="559"/>
      <c r="AHU4" s="559"/>
      <c r="AHV4" s="559"/>
      <c r="AHW4" s="559"/>
      <c r="AHX4" s="559"/>
      <c r="AHY4" s="559"/>
      <c r="AHZ4" s="559"/>
      <c r="AIA4" s="559"/>
      <c r="AIB4" s="559"/>
      <c r="AIC4" s="559"/>
      <c r="AID4" s="559"/>
      <c r="AIE4" s="559"/>
      <c r="AIF4" s="559"/>
      <c r="AIG4" s="559"/>
      <c r="AIH4" s="559"/>
      <c r="AII4" s="559"/>
      <c r="AIJ4" s="559"/>
      <c r="AIK4" s="559"/>
      <c r="AIL4" s="559"/>
      <c r="AIM4" s="559"/>
      <c r="AIN4" s="559"/>
      <c r="AIO4" s="559"/>
      <c r="AIP4" s="559"/>
      <c r="AIQ4" s="559"/>
      <c r="AIR4" s="559"/>
      <c r="AIS4" s="559"/>
      <c r="AIT4" s="559"/>
      <c r="AIU4" s="559"/>
      <c r="AIV4" s="559"/>
      <c r="AIW4" s="559"/>
      <c r="AIX4" s="559"/>
      <c r="AIY4" s="559"/>
      <c r="AIZ4" s="559"/>
      <c r="AJA4" s="559"/>
      <c r="AJB4" s="559"/>
      <c r="AJC4" s="559"/>
      <c r="AJD4" s="559"/>
      <c r="AJE4" s="559"/>
      <c r="AJF4" s="559"/>
      <c r="AJG4" s="559"/>
      <c r="AJH4" s="559"/>
      <c r="AJI4" s="559"/>
      <c r="AJJ4" s="559"/>
      <c r="AJK4" s="559"/>
      <c r="AJL4" s="559"/>
      <c r="AJM4" s="559"/>
      <c r="AJN4" s="559"/>
      <c r="AJO4" s="559"/>
      <c r="AJP4" s="559"/>
      <c r="AJQ4" s="559"/>
      <c r="AJR4" s="559"/>
      <c r="AJS4" s="559"/>
      <c r="AJT4" s="559"/>
      <c r="AJU4" s="559"/>
      <c r="AJV4" s="559"/>
      <c r="AJW4" s="559"/>
      <c r="AJX4" s="559"/>
      <c r="AJY4" s="559"/>
      <c r="AJZ4" s="559"/>
      <c r="AKA4" s="559"/>
      <c r="AKB4" s="559"/>
      <c r="AKC4" s="559"/>
      <c r="AKD4" s="559"/>
      <c r="AKE4" s="559"/>
      <c r="AKF4" s="559"/>
      <c r="AKG4" s="559"/>
      <c r="AKH4" s="559"/>
      <c r="AKI4" s="559"/>
      <c r="AKJ4" s="559"/>
      <c r="AKK4" s="559"/>
      <c r="AKL4" s="559"/>
      <c r="AKM4" s="559"/>
      <c r="AKN4" s="559"/>
      <c r="AKO4" s="559"/>
      <c r="AKP4" s="559"/>
      <c r="AKQ4" s="559"/>
      <c r="AKR4" s="559"/>
      <c r="AKS4" s="559"/>
      <c r="AKT4" s="559"/>
      <c r="AKU4" s="559"/>
      <c r="AKV4" s="559"/>
      <c r="AKW4" s="559"/>
      <c r="AKX4" s="559"/>
      <c r="AKY4" s="559"/>
      <c r="AKZ4" s="559"/>
      <c r="ALA4" s="559"/>
      <c r="ALB4" s="559"/>
      <c r="ALC4" s="559"/>
      <c r="ALD4" s="559"/>
      <c r="ALE4" s="559"/>
      <c r="ALF4" s="559"/>
      <c r="ALG4" s="559"/>
      <c r="ALH4" s="559"/>
      <c r="ALI4" s="559"/>
      <c r="ALJ4" s="559"/>
      <c r="ALK4" s="559"/>
      <c r="ALL4" s="559"/>
      <c r="ALM4" s="559"/>
      <c r="ALN4" s="559"/>
      <c r="ALO4" s="559"/>
      <c r="ALP4" s="559"/>
      <c r="ALQ4" s="559"/>
      <c r="ALR4" s="559"/>
      <c r="ALS4" s="559"/>
      <c r="ALT4" s="559"/>
      <c r="ALU4" s="559"/>
      <c r="ALV4" s="559"/>
      <c r="ALW4" s="559"/>
      <c r="ALX4" s="559"/>
      <c r="ALY4" s="559"/>
      <c r="ALZ4" s="559"/>
      <c r="AMA4" s="559"/>
      <c r="AMB4" s="559"/>
      <c r="AMC4" s="559"/>
      <c r="AMD4" s="559"/>
      <c r="AME4" s="559"/>
      <c r="AMF4" s="559"/>
      <c r="AMG4" s="559"/>
      <c r="AMH4" s="559"/>
      <c r="AMI4" s="559"/>
      <c r="AMJ4" s="559"/>
      <c r="AMK4" s="559"/>
    </row>
    <row r="5" spans="1:1025" ht="41.25" customHeight="1">
      <c r="A5" s="583" t="s">
        <v>110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</row>
    <row r="6" spans="1:1025" ht="15" customHeight="1">
      <c r="A6" s="587" t="s">
        <v>1</v>
      </c>
      <c r="B6" s="588" t="s">
        <v>2</v>
      </c>
      <c r="C6" s="588" t="s">
        <v>3</v>
      </c>
      <c r="D6" s="589" t="s">
        <v>6</v>
      </c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</row>
    <row r="7" spans="1:1025">
      <c r="A7" s="587"/>
      <c r="B7" s="588"/>
      <c r="C7" s="588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</row>
    <row r="8" spans="1:1025" ht="15.75" customHeight="1">
      <c r="A8" s="587"/>
      <c r="B8" s="588"/>
      <c r="C8" s="588"/>
      <c r="D8" s="299">
        <v>2017</v>
      </c>
      <c r="E8" s="299">
        <v>2018</v>
      </c>
      <c r="F8" s="299">
        <v>2019</v>
      </c>
      <c r="G8" s="299">
        <v>2020</v>
      </c>
      <c r="H8" s="299">
        <v>2021</v>
      </c>
      <c r="I8" s="299">
        <v>2022</v>
      </c>
      <c r="J8" s="299">
        <v>2023</v>
      </c>
      <c r="K8" s="299">
        <v>2024</v>
      </c>
      <c r="L8" s="299">
        <v>2025</v>
      </c>
      <c r="M8" s="299">
        <v>2026</v>
      </c>
      <c r="N8" s="299">
        <v>2027</v>
      </c>
      <c r="O8" s="299">
        <v>2028</v>
      </c>
      <c r="P8" s="299">
        <v>2029</v>
      </c>
      <c r="Q8" s="299">
        <v>2030</v>
      </c>
      <c r="R8" s="299">
        <v>2031</v>
      </c>
      <c r="S8" s="299">
        <v>2032</v>
      </c>
      <c r="T8" s="299">
        <v>2033</v>
      </c>
      <c r="U8" s="299">
        <v>2034</v>
      </c>
      <c r="V8" s="299">
        <v>2035</v>
      </c>
      <c r="W8" s="299">
        <v>2036</v>
      </c>
      <c r="X8" s="299">
        <v>2037</v>
      </c>
      <c r="Y8" s="299">
        <v>2038</v>
      </c>
      <c r="Z8" s="299">
        <v>2039</v>
      </c>
      <c r="AA8" s="299">
        <v>2040</v>
      </c>
    </row>
    <row r="9" spans="1:1025" ht="15.75">
      <c r="A9" s="587"/>
      <c r="B9" s="588"/>
      <c r="C9" s="588"/>
      <c r="D9" s="299" t="s">
        <v>7</v>
      </c>
      <c r="E9" s="299" t="s">
        <v>7</v>
      </c>
      <c r="F9" s="299" t="s">
        <v>7</v>
      </c>
      <c r="G9" s="299" t="s">
        <v>7</v>
      </c>
      <c r="H9" s="299" t="s">
        <v>8</v>
      </c>
      <c r="I9" s="299" t="s">
        <v>8</v>
      </c>
      <c r="J9" s="299" t="s">
        <v>8</v>
      </c>
      <c r="K9" s="299" t="s">
        <v>8</v>
      </c>
      <c r="L9" s="299" t="s">
        <v>8</v>
      </c>
      <c r="M9" s="299" t="s">
        <v>8</v>
      </c>
      <c r="N9" s="299" t="s">
        <v>8</v>
      </c>
      <c r="O9" s="299" t="s">
        <v>8</v>
      </c>
      <c r="P9" s="299" t="s">
        <v>8</v>
      </c>
      <c r="Q9" s="299" t="s">
        <v>8</v>
      </c>
      <c r="R9" s="299" t="s">
        <v>8</v>
      </c>
      <c r="S9" s="299" t="s">
        <v>8</v>
      </c>
      <c r="T9" s="299" t="s">
        <v>8</v>
      </c>
      <c r="U9" s="299" t="s">
        <v>8</v>
      </c>
      <c r="V9" s="299" t="s">
        <v>8</v>
      </c>
      <c r="W9" s="299" t="s">
        <v>8</v>
      </c>
      <c r="X9" s="299" t="s">
        <v>8</v>
      </c>
      <c r="Y9" s="299" t="s">
        <v>8</v>
      </c>
      <c r="Z9" s="299" t="s">
        <v>8</v>
      </c>
      <c r="AA9" s="299" t="s">
        <v>8</v>
      </c>
    </row>
    <row r="10" spans="1:1025" ht="15.75">
      <c r="A10" s="298" t="s">
        <v>111</v>
      </c>
      <c r="B10" s="300">
        <v>2</v>
      </c>
      <c r="C10" s="300">
        <v>3</v>
      </c>
      <c r="D10" s="301">
        <v>4</v>
      </c>
      <c r="E10" s="302">
        <v>5</v>
      </c>
      <c r="F10" s="302">
        <v>6</v>
      </c>
      <c r="G10" s="302">
        <v>7</v>
      </c>
      <c r="H10" s="302">
        <v>8</v>
      </c>
      <c r="I10" s="302">
        <v>9</v>
      </c>
      <c r="J10" s="302">
        <v>10</v>
      </c>
      <c r="K10" s="302">
        <v>11</v>
      </c>
      <c r="L10" s="302">
        <v>12</v>
      </c>
      <c r="M10" s="302">
        <v>13</v>
      </c>
      <c r="N10" s="302">
        <v>14</v>
      </c>
      <c r="O10" s="302">
        <v>15</v>
      </c>
      <c r="P10" s="302">
        <v>16</v>
      </c>
      <c r="Q10" s="302">
        <v>17</v>
      </c>
      <c r="R10" s="302">
        <v>18</v>
      </c>
      <c r="S10" s="302">
        <v>19</v>
      </c>
      <c r="T10" s="302">
        <v>20</v>
      </c>
      <c r="U10" s="302">
        <v>21</v>
      </c>
      <c r="V10" s="302">
        <v>22</v>
      </c>
      <c r="W10" s="302">
        <v>23</v>
      </c>
      <c r="X10" s="302">
        <v>24</v>
      </c>
      <c r="Y10" s="302">
        <v>25</v>
      </c>
      <c r="Z10" s="302">
        <v>26</v>
      </c>
      <c r="AA10" s="302">
        <v>27</v>
      </c>
    </row>
    <row r="11" spans="1:1025">
      <c r="A11" s="584" t="s">
        <v>112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</row>
    <row r="12" spans="1:1025" s="295" customFormat="1">
      <c r="A12" s="303" t="s">
        <v>11</v>
      </c>
      <c r="B12" s="304" t="s">
        <v>113</v>
      </c>
      <c r="C12" s="305" t="s">
        <v>114</v>
      </c>
      <c r="D12" s="404">
        <f>D13+D14</f>
        <v>498297.2559715932</v>
      </c>
      <c r="E12" s="404">
        <f t="shared" ref="E12:AA12" si="0">E13+E14</f>
        <v>519051.3894799999</v>
      </c>
      <c r="F12" s="404">
        <f t="shared" si="0"/>
        <v>532769.75942000002</v>
      </c>
      <c r="G12" s="404">
        <f t="shared" si="0"/>
        <v>523153.28563166672</v>
      </c>
      <c r="H12" s="404">
        <f t="shared" si="0"/>
        <v>555817.03651862079</v>
      </c>
      <c r="I12" s="435">
        <f t="shared" si="0"/>
        <v>581843.02578066674</v>
      </c>
      <c r="J12" s="435">
        <f t="shared" si="0"/>
        <v>619509.23115907237</v>
      </c>
      <c r="K12" s="435">
        <f t="shared" si="0"/>
        <v>661846.16032789182</v>
      </c>
      <c r="L12" s="435">
        <f t="shared" si="0"/>
        <v>712734.43679763458</v>
      </c>
      <c r="M12" s="435">
        <f t="shared" si="0"/>
        <v>736315.65549557575</v>
      </c>
      <c r="N12" s="435">
        <f t="shared" si="0"/>
        <v>760538.18981689215</v>
      </c>
      <c r="O12" s="435">
        <f t="shared" si="0"/>
        <v>779468.25536610989</v>
      </c>
      <c r="P12" s="435">
        <f t="shared" si="0"/>
        <v>799561.69497174781</v>
      </c>
      <c r="Q12" s="435">
        <f t="shared" si="0"/>
        <v>820335.68520418438</v>
      </c>
      <c r="R12" s="435">
        <f t="shared" si="0"/>
        <v>841917.08797198022</v>
      </c>
      <c r="S12" s="435">
        <f t="shared" si="0"/>
        <v>865717.14867837389</v>
      </c>
      <c r="T12" s="435">
        <f t="shared" si="0"/>
        <v>891861.30043992016</v>
      </c>
      <c r="U12" s="435">
        <f t="shared" si="0"/>
        <v>919140.35727372288</v>
      </c>
      <c r="V12" s="435">
        <f t="shared" si="0"/>
        <v>947612.85297565954</v>
      </c>
      <c r="W12" s="435">
        <f t="shared" si="0"/>
        <v>976013.34802328167</v>
      </c>
      <c r="X12" s="435">
        <f t="shared" si="0"/>
        <v>1008529.3830725604</v>
      </c>
      <c r="Y12" s="435">
        <f t="shared" si="0"/>
        <v>1043976.0587395055</v>
      </c>
      <c r="Z12" s="435">
        <f t="shared" si="0"/>
        <v>1080736.0329350876</v>
      </c>
      <c r="AA12" s="435">
        <f t="shared" si="0"/>
        <v>1118844.8092850936</v>
      </c>
      <c r="AB12" s="546"/>
    </row>
    <row r="13" spans="1:1025">
      <c r="A13" s="125"/>
      <c r="B13" s="310" t="s">
        <v>115</v>
      </c>
      <c r="C13" s="311" t="s">
        <v>114</v>
      </c>
      <c r="D13" s="552">
        <v>295407.66207910184</v>
      </c>
      <c r="E13" s="552">
        <v>306524.90614999988</v>
      </c>
      <c r="F13" s="552">
        <v>315965.16945999995</v>
      </c>
      <c r="G13" s="552">
        <v>308621.26254000003</v>
      </c>
      <c r="H13" s="553">
        <v>311406.44291666691</v>
      </c>
      <c r="I13" s="553">
        <v>331618.24829266669</v>
      </c>
      <c r="J13" s="553">
        <v>358349.72752612625</v>
      </c>
      <c r="K13" s="553">
        <v>387251.61000181071</v>
      </c>
      <c r="L13" s="553">
        <v>420810.26767922053</v>
      </c>
      <c r="M13" s="553">
        <v>434419.17589061882</v>
      </c>
      <c r="N13" s="553">
        <v>446420.81461114803</v>
      </c>
      <c r="O13" s="553">
        <v>454138.57197553711</v>
      </c>
      <c r="P13" s="553">
        <v>464416.32063341001</v>
      </c>
      <c r="Q13" s="553">
        <v>476292.36643399426</v>
      </c>
      <c r="R13" s="553">
        <v>487519.36634899367</v>
      </c>
      <c r="S13" s="553">
        <v>500805.92497363652</v>
      </c>
      <c r="T13" s="553">
        <v>517375.65677662729</v>
      </c>
      <c r="U13" s="553">
        <v>534810.47497897118</v>
      </c>
      <c r="V13" s="553">
        <v>553110.37958066794</v>
      </c>
      <c r="W13" s="553">
        <v>572275.37058171758</v>
      </c>
      <c r="X13" s="553">
        <v>592438.53819740517</v>
      </c>
      <c r="Y13" s="553">
        <v>611804.92065484519</v>
      </c>
      <c r="Z13" s="553">
        <v>632099.42235235521</v>
      </c>
      <c r="AA13" s="553">
        <v>655257.11981195689</v>
      </c>
      <c r="AB13" s="546"/>
    </row>
    <row r="14" spans="1:1025">
      <c r="A14" s="125"/>
      <c r="B14" s="310" t="s">
        <v>116</v>
      </c>
      <c r="C14" s="311" t="s">
        <v>114</v>
      </c>
      <c r="D14" s="552">
        <v>202889.59389249136</v>
      </c>
      <c r="E14" s="552">
        <v>212526.48333000005</v>
      </c>
      <c r="F14" s="552">
        <v>216804.58996000001</v>
      </c>
      <c r="G14" s="552">
        <v>214532.02309166669</v>
      </c>
      <c r="H14" s="553">
        <v>244410.59360195391</v>
      </c>
      <c r="I14" s="553">
        <v>250224.77748800002</v>
      </c>
      <c r="J14" s="553">
        <v>261159.50363294617</v>
      </c>
      <c r="K14" s="553">
        <v>274594.55032608111</v>
      </c>
      <c r="L14" s="553">
        <v>291924.16911841405</v>
      </c>
      <c r="M14" s="553">
        <v>301896.47960495693</v>
      </c>
      <c r="N14" s="553">
        <v>314117.37520574406</v>
      </c>
      <c r="O14" s="553">
        <v>325329.68339057278</v>
      </c>
      <c r="P14" s="553">
        <v>335145.3743383378</v>
      </c>
      <c r="Q14" s="553">
        <v>344043.31877019012</v>
      </c>
      <c r="R14" s="553">
        <v>354397.72162298649</v>
      </c>
      <c r="S14" s="553">
        <v>364911.22370473738</v>
      </c>
      <c r="T14" s="553">
        <v>374485.64366329287</v>
      </c>
      <c r="U14" s="553">
        <v>384329.8822947517</v>
      </c>
      <c r="V14" s="553">
        <v>394502.4733949916</v>
      </c>
      <c r="W14" s="553">
        <v>403737.97744156409</v>
      </c>
      <c r="X14" s="553">
        <v>416090.84487515525</v>
      </c>
      <c r="Y14" s="553">
        <v>432171.13808466028</v>
      </c>
      <c r="Z14" s="553">
        <v>448636.61058273225</v>
      </c>
      <c r="AA14" s="553">
        <v>463587.68947313656</v>
      </c>
      <c r="AB14" s="546"/>
    </row>
    <row r="15" spans="1:1025" s="295" customFormat="1" ht="28.5">
      <c r="A15" s="303" t="s">
        <v>117</v>
      </c>
      <c r="B15" s="304" t="s">
        <v>118</v>
      </c>
      <c r="C15" s="305" t="s">
        <v>119</v>
      </c>
      <c r="D15" s="404">
        <f t="shared" ref="D15:AA15" si="1">D16-D17</f>
        <v>7379.9868098999978</v>
      </c>
      <c r="E15" s="404">
        <f t="shared" si="1"/>
        <v>7396.3486803000014</v>
      </c>
      <c r="F15" s="404">
        <f t="shared" si="1"/>
        <v>6199.8633207999992</v>
      </c>
      <c r="G15" s="408">
        <f t="shared" si="1"/>
        <v>7453.7090732750021</v>
      </c>
      <c r="H15" s="409">
        <f t="shared" si="1"/>
        <v>6987.9999999999982</v>
      </c>
      <c r="I15" s="413">
        <f t="shared" si="1"/>
        <v>6987.9999999999982</v>
      </c>
      <c r="J15" s="413">
        <f t="shared" si="1"/>
        <v>6806.5241538079372</v>
      </c>
      <c r="K15" s="413">
        <f t="shared" si="1"/>
        <v>6806.5241538079372</v>
      </c>
      <c r="L15" s="413">
        <f t="shared" si="1"/>
        <v>6806.5241538079372</v>
      </c>
      <c r="M15" s="413">
        <f t="shared" si="1"/>
        <v>6806.5241538079372</v>
      </c>
      <c r="N15" s="413">
        <f t="shared" si="1"/>
        <v>6806.5241538079372</v>
      </c>
      <c r="O15" s="413">
        <f t="shared" si="1"/>
        <v>6806.5241538079372</v>
      </c>
      <c r="P15" s="413">
        <f t="shared" si="1"/>
        <v>6806.5241538079372</v>
      </c>
      <c r="Q15" s="413">
        <f t="shared" si="1"/>
        <v>6806.5241538079372</v>
      </c>
      <c r="R15" s="413">
        <f t="shared" si="1"/>
        <v>6806.5241538079372</v>
      </c>
      <c r="S15" s="413">
        <f t="shared" si="1"/>
        <v>6806.5241538079372</v>
      </c>
      <c r="T15" s="413">
        <f t="shared" si="1"/>
        <v>6806.5241538079372</v>
      </c>
      <c r="U15" s="413">
        <f t="shared" si="1"/>
        <v>6806.5241538079372</v>
      </c>
      <c r="V15" s="413">
        <f t="shared" si="1"/>
        <v>6806.5241538079372</v>
      </c>
      <c r="W15" s="413">
        <f t="shared" si="1"/>
        <v>6806.5241538079372</v>
      </c>
      <c r="X15" s="413">
        <f t="shared" si="1"/>
        <v>6806.5241538079372</v>
      </c>
      <c r="Y15" s="413">
        <f t="shared" si="1"/>
        <v>6806.5241538079372</v>
      </c>
      <c r="Z15" s="413">
        <f t="shared" si="1"/>
        <v>6806.5241538079372</v>
      </c>
      <c r="AA15" s="413">
        <f t="shared" si="1"/>
        <v>6806.5241538079372</v>
      </c>
    </row>
    <row r="16" spans="1:1025">
      <c r="A16" s="317" t="s">
        <v>30</v>
      </c>
      <c r="B16" s="318" t="s">
        <v>120</v>
      </c>
      <c r="C16" s="319" t="s">
        <v>119</v>
      </c>
      <c r="D16" s="405">
        <v>19434.206999999999</v>
      </c>
      <c r="E16" s="405">
        <v>18807.753000000001</v>
      </c>
      <c r="F16" s="405">
        <v>17549.903999999999</v>
      </c>
      <c r="G16" s="406">
        <v>18357.861354575001</v>
      </c>
      <c r="H16" s="407">
        <f>'Прил 3(5)'!J46</f>
        <v>17858.439999999999</v>
      </c>
      <c r="I16" s="407">
        <f>'Прил 3(5)'!K46</f>
        <v>17858.439999999999</v>
      </c>
      <c r="J16" s="407">
        <v>17394.643889107938</v>
      </c>
      <c r="K16" s="407">
        <v>17394.643889107938</v>
      </c>
      <c r="L16" s="407">
        <v>17394.643889107938</v>
      </c>
      <c r="M16" s="407">
        <v>17394.643889107938</v>
      </c>
      <c r="N16" s="407">
        <v>17394.643889107938</v>
      </c>
      <c r="O16" s="407">
        <v>17394.643889107938</v>
      </c>
      <c r="P16" s="407">
        <v>17394.643889107938</v>
      </c>
      <c r="Q16" s="407">
        <v>17394.643889107938</v>
      </c>
      <c r="R16" s="407">
        <v>17394.643889107938</v>
      </c>
      <c r="S16" s="407">
        <v>17394.643889107938</v>
      </c>
      <c r="T16" s="407">
        <v>17394.643889107938</v>
      </c>
      <c r="U16" s="407">
        <v>17394.643889107938</v>
      </c>
      <c r="V16" s="407">
        <v>17394.643889107938</v>
      </c>
      <c r="W16" s="407">
        <v>17394.643889107938</v>
      </c>
      <c r="X16" s="407">
        <v>17394.643889107938</v>
      </c>
      <c r="Y16" s="407">
        <v>17394.643889107938</v>
      </c>
      <c r="Z16" s="407">
        <v>17394.643889107938</v>
      </c>
      <c r="AA16" s="407">
        <v>17394.643889107938</v>
      </c>
    </row>
    <row r="17" spans="1:27">
      <c r="A17" s="317" t="s">
        <v>121</v>
      </c>
      <c r="B17" s="318" t="s">
        <v>122</v>
      </c>
      <c r="C17" s="319" t="s">
        <v>119</v>
      </c>
      <c r="D17" s="405">
        <v>12054.220190100001</v>
      </c>
      <c r="E17" s="405">
        <v>11411.404319699999</v>
      </c>
      <c r="F17" s="405">
        <v>11350.040679199999</v>
      </c>
      <c r="G17" s="406">
        <v>10904.152281299999</v>
      </c>
      <c r="H17" s="407">
        <v>10870.44</v>
      </c>
      <c r="I17" s="407">
        <v>10870.44</v>
      </c>
      <c r="J17" s="407">
        <v>10588.119735300001</v>
      </c>
      <c r="K17" s="407">
        <v>10588.119735300001</v>
      </c>
      <c r="L17" s="407">
        <v>10588.119735300001</v>
      </c>
      <c r="M17" s="407">
        <v>10588.119735300001</v>
      </c>
      <c r="N17" s="407">
        <v>10588.119735300001</v>
      </c>
      <c r="O17" s="407">
        <v>10588.119735300001</v>
      </c>
      <c r="P17" s="407">
        <v>10588.119735300001</v>
      </c>
      <c r="Q17" s="407">
        <v>10588.119735300001</v>
      </c>
      <c r="R17" s="407">
        <v>10588.119735300001</v>
      </c>
      <c r="S17" s="407">
        <v>10588.119735300001</v>
      </c>
      <c r="T17" s="407">
        <v>10588.119735300001</v>
      </c>
      <c r="U17" s="407">
        <v>10588.119735300001</v>
      </c>
      <c r="V17" s="407">
        <v>10588.119735300001</v>
      </c>
      <c r="W17" s="407">
        <v>10588.119735300001</v>
      </c>
      <c r="X17" s="407">
        <v>10588.119735300001</v>
      </c>
      <c r="Y17" s="407">
        <v>10588.119735300001</v>
      </c>
      <c r="Z17" s="407">
        <v>10588.119735300001</v>
      </c>
      <c r="AA17" s="407">
        <v>10588.119735300001</v>
      </c>
    </row>
    <row r="18" spans="1:27">
      <c r="A18" s="317" t="s">
        <v>123</v>
      </c>
      <c r="B18" s="318" t="s">
        <v>124</v>
      </c>
      <c r="C18" s="319" t="s">
        <v>16</v>
      </c>
      <c r="D18" s="410">
        <f t="shared" ref="D18:AA18" si="2">D15/D16</f>
        <v>0.37974211193181168</v>
      </c>
      <c r="E18" s="410">
        <f t="shared" si="2"/>
        <v>0.39326062397246503</v>
      </c>
      <c r="F18" s="410">
        <f t="shared" si="2"/>
        <v>0.3532704977075658</v>
      </c>
      <c r="G18" s="411">
        <f t="shared" si="2"/>
        <v>0.40602273485508417</v>
      </c>
      <c r="H18" s="411">
        <f t="shared" si="2"/>
        <v>0.39129957599879939</v>
      </c>
      <c r="I18" s="410">
        <f t="shared" si="2"/>
        <v>0.39129957599879939</v>
      </c>
      <c r="J18" s="410">
        <f t="shared" si="2"/>
        <v>0.39130000000000004</v>
      </c>
      <c r="K18" s="410">
        <f t="shared" si="2"/>
        <v>0.39130000000000004</v>
      </c>
      <c r="L18" s="410">
        <f t="shared" si="2"/>
        <v>0.39130000000000004</v>
      </c>
      <c r="M18" s="410">
        <f t="shared" si="2"/>
        <v>0.39130000000000004</v>
      </c>
      <c r="N18" s="410">
        <f t="shared" si="2"/>
        <v>0.39130000000000004</v>
      </c>
      <c r="O18" s="410">
        <f t="shared" si="2"/>
        <v>0.39130000000000004</v>
      </c>
      <c r="P18" s="410">
        <f t="shared" si="2"/>
        <v>0.39130000000000004</v>
      </c>
      <c r="Q18" s="410">
        <f t="shared" si="2"/>
        <v>0.39130000000000004</v>
      </c>
      <c r="R18" s="410">
        <f t="shared" si="2"/>
        <v>0.39130000000000004</v>
      </c>
      <c r="S18" s="410">
        <f t="shared" si="2"/>
        <v>0.39130000000000004</v>
      </c>
      <c r="T18" s="410">
        <f t="shared" si="2"/>
        <v>0.39130000000000004</v>
      </c>
      <c r="U18" s="410">
        <f t="shared" si="2"/>
        <v>0.39130000000000004</v>
      </c>
      <c r="V18" s="410">
        <f t="shared" si="2"/>
        <v>0.39130000000000004</v>
      </c>
      <c r="W18" s="410">
        <f t="shared" si="2"/>
        <v>0.39130000000000004</v>
      </c>
      <c r="X18" s="410">
        <f t="shared" si="2"/>
        <v>0.39130000000000004</v>
      </c>
      <c r="Y18" s="410">
        <f t="shared" si="2"/>
        <v>0.39130000000000004</v>
      </c>
      <c r="Z18" s="410">
        <f t="shared" si="2"/>
        <v>0.39130000000000004</v>
      </c>
      <c r="AA18" s="410">
        <f t="shared" si="2"/>
        <v>0.39130000000000004</v>
      </c>
    </row>
    <row r="19" spans="1:27" s="295" customFormat="1" ht="14.25">
      <c r="A19" s="303" t="s">
        <v>125</v>
      </c>
      <c r="B19" s="304" t="s">
        <v>126</v>
      </c>
      <c r="C19" s="305" t="s">
        <v>127</v>
      </c>
      <c r="D19" s="412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</row>
    <row r="20" spans="1:27">
      <c r="A20" s="317" t="s">
        <v>41</v>
      </c>
      <c r="B20" s="310" t="s">
        <v>115</v>
      </c>
      <c r="C20" s="319" t="s">
        <v>127</v>
      </c>
      <c r="D20" s="414">
        <f>D23/D26*100</f>
        <v>36.049122832636975</v>
      </c>
      <c r="E20" s="404">
        <f t="shared" ref="E20:AA20" si="3">E23/E26</f>
        <v>0.31205119839377587</v>
      </c>
      <c r="F20" s="404">
        <f t="shared" si="3"/>
        <v>0.47188399550174454</v>
      </c>
      <c r="G20" s="404">
        <f t="shared" si="3"/>
        <v>0.46155490559987566</v>
      </c>
      <c r="H20" s="413">
        <f t="shared" si="3"/>
        <v>0.41178470670575817</v>
      </c>
      <c r="I20" s="413">
        <f t="shared" si="3"/>
        <v>0.38526310962139937</v>
      </c>
      <c r="J20" s="413">
        <f t="shared" si="3"/>
        <v>0.38460536745529994</v>
      </c>
      <c r="K20" s="413">
        <f t="shared" si="3"/>
        <v>0.38460536745529994</v>
      </c>
      <c r="L20" s="413">
        <f t="shared" si="3"/>
        <v>0.38460536745529994</v>
      </c>
      <c r="M20" s="413">
        <f t="shared" si="3"/>
        <v>0.38460536745529994</v>
      </c>
      <c r="N20" s="413">
        <f t="shared" si="3"/>
        <v>0.38460536745529994</v>
      </c>
      <c r="O20" s="413">
        <f t="shared" si="3"/>
        <v>0.38460536745529994</v>
      </c>
      <c r="P20" s="413">
        <f t="shared" si="3"/>
        <v>0.38460536745529994</v>
      </c>
      <c r="Q20" s="413">
        <f t="shared" si="3"/>
        <v>0.38460536745529994</v>
      </c>
      <c r="R20" s="413">
        <f t="shared" si="3"/>
        <v>0.38460536745529994</v>
      </c>
      <c r="S20" s="413">
        <f t="shared" si="3"/>
        <v>0.38460536745529994</v>
      </c>
      <c r="T20" s="413">
        <f t="shared" si="3"/>
        <v>0.38460536745529994</v>
      </c>
      <c r="U20" s="413">
        <f t="shared" si="3"/>
        <v>0.38460536745529994</v>
      </c>
      <c r="V20" s="413">
        <f t="shared" si="3"/>
        <v>0.38460536745529994</v>
      </c>
      <c r="W20" s="413">
        <f t="shared" si="3"/>
        <v>0.37020737117635921</v>
      </c>
      <c r="X20" s="413">
        <f t="shared" si="3"/>
        <v>0.37020737117635921</v>
      </c>
      <c r="Y20" s="413">
        <f t="shared" si="3"/>
        <v>0.37020737117635921</v>
      </c>
      <c r="Z20" s="413">
        <f t="shared" si="3"/>
        <v>0.37020737117635921</v>
      </c>
      <c r="AA20" s="413">
        <f t="shared" si="3"/>
        <v>0.37020737117635921</v>
      </c>
    </row>
    <row r="21" spans="1:27">
      <c r="A21" s="317" t="s">
        <v>48</v>
      </c>
      <c r="B21" s="310" t="s">
        <v>116</v>
      </c>
      <c r="C21" s="319" t="s">
        <v>127</v>
      </c>
      <c r="D21" s="414">
        <f>D24/D27*100</f>
        <v>70.588089186208407</v>
      </c>
      <c r="E21" s="404">
        <f t="shared" ref="E21:AA21" si="4">E24/E27</f>
        <v>0.53573260152724744</v>
      </c>
      <c r="F21" s="404">
        <f t="shared" si="4"/>
        <v>0.65961517994176455</v>
      </c>
      <c r="G21" s="404">
        <f t="shared" si="4"/>
        <v>0.65184892290919461</v>
      </c>
      <c r="H21" s="413">
        <f t="shared" si="4"/>
        <v>0.83377890304354774</v>
      </c>
      <c r="I21" s="348">
        <f t="shared" si="4"/>
        <v>0.82254826861742947</v>
      </c>
      <c r="J21" s="413">
        <f t="shared" si="4"/>
        <v>0.82197196645424608</v>
      </c>
      <c r="K21" s="413">
        <f t="shared" si="4"/>
        <v>0.82197196645424608</v>
      </c>
      <c r="L21" s="413">
        <f t="shared" si="4"/>
        <v>0.82197196645424608</v>
      </c>
      <c r="M21" s="413">
        <f t="shared" si="4"/>
        <v>0.82197196645424608</v>
      </c>
      <c r="N21" s="413">
        <f t="shared" si="4"/>
        <v>0.82197196645424608</v>
      </c>
      <c r="O21" s="413">
        <f t="shared" si="4"/>
        <v>0.82197196645424608</v>
      </c>
      <c r="P21" s="413">
        <f t="shared" si="4"/>
        <v>0.82197196645424608</v>
      </c>
      <c r="Q21" s="413">
        <f t="shared" si="4"/>
        <v>0.82197196645424608</v>
      </c>
      <c r="R21" s="413">
        <f t="shared" si="4"/>
        <v>0.82197196645424608</v>
      </c>
      <c r="S21" s="413">
        <f t="shared" si="4"/>
        <v>0.82197196645424608</v>
      </c>
      <c r="T21" s="413">
        <f t="shared" si="4"/>
        <v>0.82197196645424608</v>
      </c>
      <c r="U21" s="413">
        <f t="shared" si="4"/>
        <v>0.82197196645424608</v>
      </c>
      <c r="V21" s="413">
        <f t="shared" si="4"/>
        <v>0.82197196645424608</v>
      </c>
      <c r="W21" s="413">
        <f t="shared" si="4"/>
        <v>0.82197196645424608</v>
      </c>
      <c r="X21" s="413">
        <f t="shared" si="4"/>
        <v>0.82197196645424608</v>
      </c>
      <c r="Y21" s="413">
        <f t="shared" si="4"/>
        <v>0.82197196645424608</v>
      </c>
      <c r="Z21" s="413">
        <f t="shared" si="4"/>
        <v>0.82197196645424608</v>
      </c>
      <c r="AA21" s="413">
        <f t="shared" si="4"/>
        <v>0.82197196645424608</v>
      </c>
    </row>
    <row r="22" spans="1:27">
      <c r="A22" s="317" t="s">
        <v>54</v>
      </c>
      <c r="B22" s="318" t="s">
        <v>128</v>
      </c>
      <c r="C22" s="319" t="s">
        <v>129</v>
      </c>
      <c r="D22" s="404">
        <f t="shared" ref="D22:H22" si="5">D23+D24</f>
        <v>335.16102635431031</v>
      </c>
      <c r="E22" s="404">
        <f t="shared" si="5"/>
        <v>272.50758000000002</v>
      </c>
      <c r="F22" s="404">
        <f t="shared" si="5"/>
        <v>376.84263599999997</v>
      </c>
      <c r="G22" s="404">
        <f t="shared" si="5"/>
        <v>372</v>
      </c>
      <c r="H22" s="413">
        <f t="shared" si="5"/>
        <v>405.8485</v>
      </c>
      <c r="I22" s="348">
        <v>405.85</v>
      </c>
      <c r="J22" s="413">
        <v>405.85</v>
      </c>
      <c r="K22" s="413">
        <v>405.85</v>
      </c>
      <c r="L22" s="413">
        <v>405.85</v>
      </c>
      <c r="M22" s="413">
        <v>405.85</v>
      </c>
      <c r="N22" s="413">
        <v>405.85</v>
      </c>
      <c r="O22" s="413">
        <v>405.85</v>
      </c>
      <c r="P22" s="413">
        <v>405.85</v>
      </c>
      <c r="Q22" s="413">
        <v>405.85</v>
      </c>
      <c r="R22" s="413">
        <v>405.85</v>
      </c>
      <c r="S22" s="413">
        <v>405.85</v>
      </c>
      <c r="T22" s="413">
        <v>405.85</v>
      </c>
      <c r="U22" s="413">
        <v>405.85</v>
      </c>
      <c r="V22" s="413">
        <v>405.85</v>
      </c>
      <c r="W22" s="413">
        <v>405.85</v>
      </c>
      <c r="X22" s="413">
        <v>405.85</v>
      </c>
      <c r="Y22" s="413">
        <v>405.85</v>
      </c>
      <c r="Z22" s="413">
        <v>405.85</v>
      </c>
      <c r="AA22" s="413">
        <v>405.85</v>
      </c>
    </row>
    <row r="23" spans="1:27">
      <c r="A23" s="317" t="s">
        <v>130</v>
      </c>
      <c r="B23" s="310" t="s">
        <v>115</v>
      </c>
      <c r="C23" s="319" t="s">
        <v>129</v>
      </c>
      <c r="D23" s="346">
        <f>D38+D41</f>
        <v>141.79201483761102</v>
      </c>
      <c r="E23" s="346">
        <f>E38+E41</f>
        <v>124.3368</v>
      </c>
      <c r="F23" s="346">
        <f>F32</f>
        <v>192.89706999999999</v>
      </c>
      <c r="G23" s="346">
        <v>190</v>
      </c>
      <c r="H23" s="346">
        <f t="shared" ref="H23:AA23" si="6">H38+H41</f>
        <v>171.21061</v>
      </c>
      <c r="I23" s="346">
        <f t="shared" si="6"/>
        <v>171.21061</v>
      </c>
      <c r="J23" s="346">
        <f t="shared" si="6"/>
        <v>171.21061</v>
      </c>
      <c r="K23" s="346">
        <f t="shared" si="6"/>
        <v>171.21061</v>
      </c>
      <c r="L23" s="346">
        <f t="shared" si="6"/>
        <v>171.21061</v>
      </c>
      <c r="M23" s="346">
        <f t="shared" si="6"/>
        <v>171.21061</v>
      </c>
      <c r="N23" s="346">
        <f t="shared" si="6"/>
        <v>171.21061</v>
      </c>
      <c r="O23" s="346">
        <f t="shared" si="6"/>
        <v>171.21061</v>
      </c>
      <c r="P23" s="346">
        <f t="shared" si="6"/>
        <v>171.21061</v>
      </c>
      <c r="Q23" s="346">
        <f t="shared" si="6"/>
        <v>171.21061</v>
      </c>
      <c r="R23" s="346">
        <f t="shared" si="6"/>
        <v>171.21061</v>
      </c>
      <c r="S23" s="346">
        <f t="shared" si="6"/>
        <v>171.21061</v>
      </c>
      <c r="T23" s="346">
        <f t="shared" si="6"/>
        <v>171.21061</v>
      </c>
      <c r="U23" s="346">
        <f t="shared" si="6"/>
        <v>171.21061</v>
      </c>
      <c r="V23" s="346">
        <f t="shared" si="6"/>
        <v>171.21061</v>
      </c>
      <c r="W23" s="346">
        <f t="shared" si="6"/>
        <v>171.21061</v>
      </c>
      <c r="X23" s="346">
        <f t="shared" si="6"/>
        <v>171.21061</v>
      </c>
      <c r="Y23" s="346">
        <f t="shared" si="6"/>
        <v>171.21061</v>
      </c>
      <c r="Z23" s="346">
        <f t="shared" si="6"/>
        <v>171.21061</v>
      </c>
      <c r="AA23" s="346">
        <f t="shared" si="6"/>
        <v>171.21061</v>
      </c>
    </row>
    <row r="24" spans="1:27">
      <c r="A24" s="317" t="s">
        <v>131</v>
      </c>
      <c r="B24" s="310" t="s">
        <v>116</v>
      </c>
      <c r="C24" s="319" t="s">
        <v>129</v>
      </c>
      <c r="D24" s="346">
        <f>D39+D42</f>
        <v>193.36901151669929</v>
      </c>
      <c r="E24" s="346">
        <f>E39+E42</f>
        <v>148.17078000000001</v>
      </c>
      <c r="F24" s="346">
        <f>F33</f>
        <v>183.94556599999999</v>
      </c>
      <c r="G24" s="346">
        <v>182</v>
      </c>
      <c r="H24" s="346">
        <f t="shared" ref="H24:AA24" si="7">H39+H42</f>
        <v>234.63789</v>
      </c>
      <c r="I24" s="346">
        <f t="shared" si="7"/>
        <v>234.63789</v>
      </c>
      <c r="J24" s="346">
        <f t="shared" si="7"/>
        <v>234.63789</v>
      </c>
      <c r="K24" s="346">
        <f t="shared" si="7"/>
        <v>234.63789</v>
      </c>
      <c r="L24" s="346">
        <f t="shared" si="7"/>
        <v>234.63789</v>
      </c>
      <c r="M24" s="346">
        <f t="shared" si="7"/>
        <v>234.63789</v>
      </c>
      <c r="N24" s="346">
        <f t="shared" si="7"/>
        <v>234.63789</v>
      </c>
      <c r="O24" s="346">
        <f t="shared" si="7"/>
        <v>234.63789</v>
      </c>
      <c r="P24" s="346">
        <f t="shared" si="7"/>
        <v>234.63789</v>
      </c>
      <c r="Q24" s="346">
        <f t="shared" si="7"/>
        <v>234.63789</v>
      </c>
      <c r="R24" s="346">
        <f t="shared" si="7"/>
        <v>234.63789</v>
      </c>
      <c r="S24" s="346">
        <f t="shared" si="7"/>
        <v>234.63789</v>
      </c>
      <c r="T24" s="346">
        <f t="shared" si="7"/>
        <v>234.63789</v>
      </c>
      <c r="U24" s="346">
        <f t="shared" si="7"/>
        <v>234.63789</v>
      </c>
      <c r="V24" s="346">
        <f t="shared" si="7"/>
        <v>234.63789</v>
      </c>
      <c r="W24" s="346">
        <f t="shared" si="7"/>
        <v>234.63789</v>
      </c>
      <c r="X24" s="346">
        <f t="shared" si="7"/>
        <v>234.63789</v>
      </c>
      <c r="Y24" s="346">
        <f t="shared" si="7"/>
        <v>234.63789</v>
      </c>
      <c r="Z24" s="346">
        <f t="shared" si="7"/>
        <v>234.63789</v>
      </c>
      <c r="AA24" s="346">
        <f t="shared" si="7"/>
        <v>234.63789</v>
      </c>
    </row>
    <row r="25" spans="1:27" ht="30">
      <c r="A25" s="317" t="s">
        <v>60</v>
      </c>
      <c r="B25" s="318" t="s">
        <v>132</v>
      </c>
      <c r="C25" s="319" t="s">
        <v>133</v>
      </c>
      <c r="D25" s="404">
        <f t="shared" ref="D25:AA25" si="8">D26+D27</f>
        <v>667.27</v>
      </c>
      <c r="E25" s="404">
        <f t="shared" si="8"/>
        <v>675.02600000000007</v>
      </c>
      <c r="F25" s="404">
        <f t="shared" si="8"/>
        <v>687.64869999999996</v>
      </c>
      <c r="G25" s="404">
        <f t="shared" si="8"/>
        <v>690.8578</v>
      </c>
      <c r="H25" s="413">
        <f t="shared" si="8"/>
        <v>697.19200000000001</v>
      </c>
      <c r="I25" s="348">
        <f t="shared" si="8"/>
        <v>729.65647000000001</v>
      </c>
      <c r="J25" s="413">
        <f t="shared" si="8"/>
        <v>730.61646999999994</v>
      </c>
      <c r="K25" s="413">
        <f t="shared" si="8"/>
        <v>730.61646999999994</v>
      </c>
      <c r="L25" s="413">
        <f t="shared" si="8"/>
        <v>730.61646999999994</v>
      </c>
      <c r="M25" s="413">
        <f t="shared" si="8"/>
        <v>730.61646999999994</v>
      </c>
      <c r="N25" s="413">
        <f t="shared" si="8"/>
        <v>730.61646999999994</v>
      </c>
      <c r="O25" s="413">
        <f t="shared" si="8"/>
        <v>730.61646999999994</v>
      </c>
      <c r="P25" s="413">
        <f t="shared" si="8"/>
        <v>730.61646999999994</v>
      </c>
      <c r="Q25" s="413">
        <f t="shared" si="8"/>
        <v>730.61646999999994</v>
      </c>
      <c r="R25" s="413">
        <f t="shared" si="8"/>
        <v>730.61646999999994</v>
      </c>
      <c r="S25" s="413">
        <f t="shared" si="8"/>
        <v>730.61646999999994</v>
      </c>
      <c r="T25" s="413">
        <f t="shared" si="8"/>
        <v>730.61646999999994</v>
      </c>
      <c r="U25" s="413">
        <f t="shared" si="8"/>
        <v>730.61646999999994</v>
      </c>
      <c r="V25" s="413">
        <f t="shared" si="8"/>
        <v>730.61646999999994</v>
      </c>
      <c r="W25" s="413">
        <f t="shared" si="8"/>
        <v>747.92947000000004</v>
      </c>
      <c r="X25" s="413">
        <f t="shared" si="8"/>
        <v>747.92947000000004</v>
      </c>
      <c r="Y25" s="413">
        <f t="shared" si="8"/>
        <v>747.92947000000004</v>
      </c>
      <c r="Z25" s="413">
        <f t="shared" si="8"/>
        <v>747.92947000000004</v>
      </c>
      <c r="AA25" s="413">
        <f t="shared" si="8"/>
        <v>747.92947000000004</v>
      </c>
    </row>
    <row r="26" spans="1:27">
      <c r="A26" s="317" t="s">
        <v>134</v>
      </c>
      <c r="B26" s="310" t="s">
        <v>115</v>
      </c>
      <c r="C26" s="319" t="s">
        <v>133</v>
      </c>
      <c r="D26" s="346">
        <f>'Прил 3(5)'!F24</f>
        <v>393.33</v>
      </c>
      <c r="E26" s="346">
        <f>'Прил 3(5)'!G24</f>
        <v>398.45</v>
      </c>
      <c r="F26" s="346">
        <f>'Прил 3(5)'!H24</f>
        <v>408.78070000000002</v>
      </c>
      <c r="G26" s="346">
        <f>'Прил 3(5)'!I24</f>
        <v>411.65199999999999</v>
      </c>
      <c r="H26" s="327">
        <f>'Прил 3(5)'!J24</f>
        <v>415.77699999999999</v>
      </c>
      <c r="I26" s="327">
        <f>'Прил 3(5)'!K24</f>
        <v>444.39918</v>
      </c>
      <c r="J26" s="547">
        <f>'Прил 3(5)'!L24</f>
        <v>445.15917999999999</v>
      </c>
      <c r="K26" s="327">
        <f>'Прил 3(5)'!M24</f>
        <v>445.15917999999999</v>
      </c>
      <c r="L26" s="327">
        <f>'Прил 3(5)'!N24</f>
        <v>445.15917999999999</v>
      </c>
      <c r="M26" s="327">
        <f>'Прил 3(5)'!O24</f>
        <v>445.15917999999999</v>
      </c>
      <c r="N26" s="327">
        <f>'Прил 3(5)'!P24</f>
        <v>445.15917999999999</v>
      </c>
      <c r="O26" s="327">
        <f>'Прил 3(5)'!Q24</f>
        <v>445.15917999999999</v>
      </c>
      <c r="P26" s="327">
        <f>'Прил 3(5)'!R24</f>
        <v>445.15917999999999</v>
      </c>
      <c r="Q26" s="327">
        <f>'Прил 3(5)'!S24</f>
        <v>445.15917999999999</v>
      </c>
      <c r="R26" s="327">
        <f>'Прил 3(5)'!T24</f>
        <v>445.15917999999999</v>
      </c>
      <c r="S26" s="327">
        <f>'Прил 3(5)'!U24</f>
        <v>445.15917999999999</v>
      </c>
      <c r="T26" s="327">
        <f>'Прил 3(5)'!V24</f>
        <v>445.15917999999999</v>
      </c>
      <c r="U26" s="327">
        <f>'Прил 3(5)'!W24</f>
        <v>445.15917999999999</v>
      </c>
      <c r="V26" s="327">
        <f>'Прил 3(5)'!X24</f>
        <v>445.15917999999999</v>
      </c>
      <c r="W26" s="327">
        <f>'Прил 3(5)'!Y24</f>
        <v>462.47217999999998</v>
      </c>
      <c r="X26" s="327">
        <f>'Прил 3(5)'!Z24</f>
        <v>462.47217999999998</v>
      </c>
      <c r="Y26" s="327">
        <f>'Прил 3(5)'!AA24</f>
        <v>462.47217999999998</v>
      </c>
      <c r="Z26" s="327">
        <f>'Прил 3(5)'!AB24</f>
        <v>462.47217999999998</v>
      </c>
      <c r="AA26" s="327">
        <f>'Прил 3(5)'!AC24</f>
        <v>462.47217999999998</v>
      </c>
    </row>
    <row r="27" spans="1:27">
      <c r="A27" s="317" t="s">
        <v>135</v>
      </c>
      <c r="B27" s="310" t="s">
        <v>116</v>
      </c>
      <c r="C27" s="319" t="s">
        <v>133</v>
      </c>
      <c r="D27" s="346">
        <f>'Прил 3(5)'!F41</f>
        <v>273.94</v>
      </c>
      <c r="E27" s="346">
        <f>'Прил 3(5)'!G41</f>
        <v>276.57600000000002</v>
      </c>
      <c r="F27" s="346">
        <f>'Прил 3(5)'!H41</f>
        <v>278.86799999999999</v>
      </c>
      <c r="G27" s="346">
        <f>'Прил 3(5)'!I41</f>
        <v>279.20580000000001</v>
      </c>
      <c r="H27" s="327">
        <f>'Прил 3(5)'!J41</f>
        <v>281.41500000000002</v>
      </c>
      <c r="I27" s="327">
        <f>'Прил 3(5)'!K41</f>
        <v>285.25729000000001</v>
      </c>
      <c r="J27" s="547">
        <f>'Прил 3(5)'!L41</f>
        <v>285.45729</v>
      </c>
      <c r="K27" s="327">
        <f>'Прил 3(5)'!M41</f>
        <v>285.45729</v>
      </c>
      <c r="L27" s="327">
        <f>'Прил 3(5)'!N41</f>
        <v>285.45729</v>
      </c>
      <c r="M27" s="327">
        <f>'Прил 3(5)'!O41</f>
        <v>285.45729</v>
      </c>
      <c r="N27" s="327">
        <f>'Прил 3(5)'!P41</f>
        <v>285.45729</v>
      </c>
      <c r="O27" s="327">
        <f>'Прил 3(5)'!Q41</f>
        <v>285.45729</v>
      </c>
      <c r="P27" s="327">
        <f>'Прил 3(5)'!R41</f>
        <v>285.45729</v>
      </c>
      <c r="Q27" s="327">
        <f>'Прил 3(5)'!S41</f>
        <v>285.45729</v>
      </c>
      <c r="R27" s="327">
        <f>'Прил 3(5)'!T41</f>
        <v>285.45729</v>
      </c>
      <c r="S27" s="327">
        <f>'Прил 3(5)'!U41</f>
        <v>285.45729</v>
      </c>
      <c r="T27" s="327">
        <f>'Прил 3(5)'!V41</f>
        <v>285.45729</v>
      </c>
      <c r="U27" s="327">
        <f>'Прил 3(5)'!W41</f>
        <v>285.45729</v>
      </c>
      <c r="V27" s="327">
        <f>'Прил 3(5)'!X41</f>
        <v>285.45729</v>
      </c>
      <c r="W27" s="327">
        <f>'Прил 3(5)'!Y41</f>
        <v>285.45729</v>
      </c>
      <c r="X27" s="327">
        <f>'Прил 3(5)'!Z41</f>
        <v>285.45729</v>
      </c>
      <c r="Y27" s="327">
        <f>'Прил 3(5)'!AA41</f>
        <v>285.45729</v>
      </c>
      <c r="Z27" s="327">
        <f>'Прил 3(5)'!AB41</f>
        <v>285.45729</v>
      </c>
      <c r="AA27" s="327">
        <f>'Прил 3(5)'!AC41</f>
        <v>285.45729</v>
      </c>
    </row>
    <row r="28" spans="1:27" s="295" customFormat="1" ht="14.25">
      <c r="A28" s="303" t="s">
        <v>136</v>
      </c>
      <c r="B28" s="304" t="s">
        <v>137</v>
      </c>
      <c r="C28" s="305" t="s">
        <v>138</v>
      </c>
      <c r="D28" s="404">
        <f t="shared" ref="D28:AA28" si="9">D29+D30</f>
        <v>228.51533544369676</v>
      </c>
      <c r="E28" s="404">
        <f t="shared" si="9"/>
        <v>265.80490306673397</v>
      </c>
      <c r="F28" s="404">
        <f t="shared" si="9"/>
        <v>185.13400426106068</v>
      </c>
      <c r="G28" s="404">
        <f t="shared" si="9"/>
        <v>187.14328995178283</v>
      </c>
      <c r="H28" s="413">
        <f t="shared" si="9"/>
        <v>174.20451572138575</v>
      </c>
      <c r="I28" s="348">
        <f t="shared" si="9"/>
        <v>174.20451572138575</v>
      </c>
      <c r="J28" s="413">
        <f t="shared" si="9"/>
        <v>171.49559417211924</v>
      </c>
      <c r="K28" s="413">
        <f t="shared" si="9"/>
        <v>171.49559417211924</v>
      </c>
      <c r="L28" s="413">
        <f t="shared" si="9"/>
        <v>171.49559417211924</v>
      </c>
      <c r="M28" s="413">
        <f t="shared" si="9"/>
        <v>171.49559417211924</v>
      </c>
      <c r="N28" s="413">
        <f t="shared" si="9"/>
        <v>171.49559417211924</v>
      </c>
      <c r="O28" s="413">
        <f t="shared" si="9"/>
        <v>171.49559417211924</v>
      </c>
      <c r="P28" s="413">
        <f t="shared" si="9"/>
        <v>171.49559417211924</v>
      </c>
      <c r="Q28" s="413">
        <f t="shared" si="9"/>
        <v>171.49559417211924</v>
      </c>
      <c r="R28" s="413">
        <f t="shared" si="9"/>
        <v>171.49559417211924</v>
      </c>
      <c r="S28" s="413">
        <f t="shared" si="9"/>
        <v>171.49559417211924</v>
      </c>
      <c r="T28" s="413">
        <f t="shared" si="9"/>
        <v>171.49559417211924</v>
      </c>
      <c r="U28" s="413">
        <f t="shared" si="9"/>
        <v>171.49559417211924</v>
      </c>
      <c r="V28" s="413">
        <f t="shared" si="9"/>
        <v>171.49559417211924</v>
      </c>
      <c r="W28" s="413">
        <f t="shared" si="9"/>
        <v>171.49559417211924</v>
      </c>
      <c r="X28" s="413">
        <f t="shared" si="9"/>
        <v>171.49559417211924</v>
      </c>
      <c r="Y28" s="413">
        <f t="shared" si="9"/>
        <v>171.49559417211924</v>
      </c>
      <c r="Z28" s="413">
        <f t="shared" si="9"/>
        <v>171.49559417211924</v>
      </c>
      <c r="AA28" s="413">
        <f t="shared" si="9"/>
        <v>171.49559417211924</v>
      </c>
    </row>
    <row r="29" spans="1:27">
      <c r="A29" s="317" t="s">
        <v>66</v>
      </c>
      <c r="B29" s="310" t="s">
        <v>115</v>
      </c>
      <c r="C29" s="319" t="s">
        <v>138</v>
      </c>
      <c r="D29" s="404">
        <f t="shared" ref="D29:AA29" si="10">D34/D32</f>
        <v>137.06136429655263</v>
      </c>
      <c r="E29" s="404">
        <f t="shared" si="10"/>
        <v>151.26457332020772</v>
      </c>
      <c r="F29" s="404">
        <f t="shared" si="10"/>
        <v>90.980666528527365</v>
      </c>
      <c r="G29" s="404">
        <f t="shared" si="10"/>
        <v>96.620322918815802</v>
      </c>
      <c r="H29" s="413">
        <f t="shared" si="10"/>
        <v>104.30685341288135</v>
      </c>
      <c r="I29" s="348">
        <f t="shared" si="10"/>
        <v>104.30685341288135</v>
      </c>
      <c r="J29" s="413">
        <f t="shared" si="10"/>
        <v>101.59793186361486</v>
      </c>
      <c r="K29" s="413">
        <f t="shared" si="10"/>
        <v>101.59793186361486</v>
      </c>
      <c r="L29" s="413">
        <f t="shared" si="10"/>
        <v>101.59793186361486</v>
      </c>
      <c r="M29" s="413">
        <f t="shared" si="10"/>
        <v>101.59793186361486</v>
      </c>
      <c r="N29" s="413">
        <f t="shared" si="10"/>
        <v>101.59793186361486</v>
      </c>
      <c r="O29" s="413">
        <f t="shared" si="10"/>
        <v>101.59793186361486</v>
      </c>
      <c r="P29" s="413">
        <f t="shared" si="10"/>
        <v>101.59793186361486</v>
      </c>
      <c r="Q29" s="413">
        <f t="shared" si="10"/>
        <v>101.59793186361486</v>
      </c>
      <c r="R29" s="413">
        <f t="shared" si="10"/>
        <v>101.59793186361486</v>
      </c>
      <c r="S29" s="413">
        <f t="shared" si="10"/>
        <v>101.59793186361486</v>
      </c>
      <c r="T29" s="413">
        <f t="shared" si="10"/>
        <v>101.59793186361486</v>
      </c>
      <c r="U29" s="413">
        <f t="shared" si="10"/>
        <v>101.59793186361486</v>
      </c>
      <c r="V29" s="413">
        <f t="shared" si="10"/>
        <v>101.59793186361486</v>
      </c>
      <c r="W29" s="413">
        <f t="shared" si="10"/>
        <v>101.59793186361486</v>
      </c>
      <c r="X29" s="413">
        <f t="shared" si="10"/>
        <v>101.59793186361486</v>
      </c>
      <c r="Y29" s="413">
        <f t="shared" si="10"/>
        <v>101.59793186361486</v>
      </c>
      <c r="Z29" s="413">
        <f t="shared" si="10"/>
        <v>101.59793186361486</v>
      </c>
      <c r="AA29" s="413">
        <f t="shared" si="10"/>
        <v>101.59793186361486</v>
      </c>
    </row>
    <row r="30" spans="1:27">
      <c r="A30" s="317" t="s">
        <v>139</v>
      </c>
      <c r="B30" s="310" t="s">
        <v>116</v>
      </c>
      <c r="C30" s="319" t="s">
        <v>138</v>
      </c>
      <c r="D30" s="404">
        <f t="shared" ref="D30:AA30" si="11">D35/D33</f>
        <v>91.453971147144145</v>
      </c>
      <c r="E30" s="404">
        <f t="shared" si="11"/>
        <v>114.54032974652625</v>
      </c>
      <c r="F30" s="404">
        <f t="shared" si="11"/>
        <v>94.15333773253333</v>
      </c>
      <c r="G30" s="404">
        <f t="shared" si="11"/>
        <v>90.522967032967031</v>
      </c>
      <c r="H30" s="413">
        <f t="shared" si="11"/>
        <v>69.897662308504394</v>
      </c>
      <c r="I30" s="348">
        <f t="shared" si="11"/>
        <v>69.897662308504394</v>
      </c>
      <c r="J30" s="413">
        <f t="shared" si="11"/>
        <v>69.897662308504394</v>
      </c>
      <c r="K30" s="413">
        <f t="shared" si="11"/>
        <v>69.897662308504394</v>
      </c>
      <c r="L30" s="413">
        <f t="shared" si="11"/>
        <v>69.897662308504394</v>
      </c>
      <c r="M30" s="413">
        <f t="shared" si="11"/>
        <v>69.897662308504394</v>
      </c>
      <c r="N30" s="413">
        <f t="shared" si="11"/>
        <v>69.897662308504394</v>
      </c>
      <c r="O30" s="413">
        <f t="shared" si="11"/>
        <v>69.897662308504394</v>
      </c>
      <c r="P30" s="413">
        <f t="shared" si="11"/>
        <v>69.897662308504394</v>
      </c>
      <c r="Q30" s="413">
        <f t="shared" si="11"/>
        <v>69.897662308504394</v>
      </c>
      <c r="R30" s="413">
        <f t="shared" si="11"/>
        <v>69.897662308504394</v>
      </c>
      <c r="S30" s="413">
        <f t="shared" si="11"/>
        <v>69.897662308504394</v>
      </c>
      <c r="T30" s="413">
        <f t="shared" si="11"/>
        <v>69.897662308504394</v>
      </c>
      <c r="U30" s="413">
        <f t="shared" si="11"/>
        <v>69.897662308504394</v>
      </c>
      <c r="V30" s="413">
        <f t="shared" si="11"/>
        <v>69.897662308504394</v>
      </c>
      <c r="W30" s="413">
        <f t="shared" si="11"/>
        <v>69.897662308504394</v>
      </c>
      <c r="X30" s="413">
        <f t="shared" si="11"/>
        <v>69.897662308504394</v>
      </c>
      <c r="Y30" s="413">
        <f t="shared" si="11"/>
        <v>69.897662308504394</v>
      </c>
      <c r="Z30" s="413">
        <f t="shared" si="11"/>
        <v>69.897662308504394</v>
      </c>
      <c r="AA30" s="413">
        <f t="shared" si="11"/>
        <v>69.897662308504394</v>
      </c>
    </row>
    <row r="31" spans="1:27">
      <c r="A31" s="317" t="s">
        <v>140</v>
      </c>
      <c r="B31" s="318" t="s">
        <v>128</v>
      </c>
      <c r="C31" s="319" t="s">
        <v>129</v>
      </c>
      <c r="D31" s="404">
        <f t="shared" ref="D31:H31" si="12">D32+D33</f>
        <v>335.16102635431031</v>
      </c>
      <c r="E31" s="404">
        <f t="shared" si="12"/>
        <v>272.50758000000002</v>
      </c>
      <c r="F31" s="404">
        <f t="shared" si="12"/>
        <v>376.84263599999997</v>
      </c>
      <c r="G31" s="408">
        <f t="shared" si="12"/>
        <v>372</v>
      </c>
      <c r="H31" s="409">
        <f t="shared" si="12"/>
        <v>405.8485</v>
      </c>
      <c r="I31" s="348">
        <v>405.85</v>
      </c>
      <c r="J31" s="413">
        <v>405.85</v>
      </c>
      <c r="K31" s="413">
        <v>405.85</v>
      </c>
      <c r="L31" s="413">
        <v>405.85</v>
      </c>
      <c r="M31" s="413">
        <v>405.85</v>
      </c>
      <c r="N31" s="413">
        <v>405.85</v>
      </c>
      <c r="O31" s="413">
        <v>405.85</v>
      </c>
      <c r="P31" s="413">
        <v>405.85</v>
      </c>
      <c r="Q31" s="413">
        <v>405.85</v>
      </c>
      <c r="R31" s="413">
        <v>405.85</v>
      </c>
      <c r="S31" s="413">
        <v>405.85</v>
      </c>
      <c r="T31" s="413">
        <v>405.85</v>
      </c>
      <c r="U31" s="413">
        <v>405.85</v>
      </c>
      <c r="V31" s="413">
        <v>405.85</v>
      </c>
      <c r="W31" s="413">
        <v>405.85</v>
      </c>
      <c r="X31" s="413">
        <v>405.85</v>
      </c>
      <c r="Y31" s="413">
        <v>405.85</v>
      </c>
      <c r="Z31" s="413">
        <v>405.85</v>
      </c>
      <c r="AA31" s="413">
        <v>405.85</v>
      </c>
    </row>
    <row r="32" spans="1:27">
      <c r="A32" s="317" t="s">
        <v>141</v>
      </c>
      <c r="B32" s="310" t="s">
        <v>115</v>
      </c>
      <c r="C32" s="319" t="s">
        <v>129</v>
      </c>
      <c r="D32" s="415">
        <f>D38+D41</f>
        <v>141.79201483761102</v>
      </c>
      <c r="E32" s="415">
        <f>E38+E41</f>
        <v>124.3368</v>
      </c>
      <c r="F32" s="415">
        <f>F38+F41+F44+F47</f>
        <v>192.89706999999999</v>
      </c>
      <c r="G32" s="416">
        <v>190</v>
      </c>
      <c r="H32" s="417">
        <f t="shared" ref="H32:AA32" si="13">H38+H41</f>
        <v>171.21061</v>
      </c>
      <c r="I32" s="418">
        <f t="shared" si="13"/>
        <v>171.21061</v>
      </c>
      <c r="J32" s="418">
        <f t="shared" si="13"/>
        <v>171.21061</v>
      </c>
      <c r="K32" s="418">
        <f t="shared" si="13"/>
        <v>171.21061</v>
      </c>
      <c r="L32" s="418">
        <f t="shared" si="13"/>
        <v>171.21061</v>
      </c>
      <c r="M32" s="418">
        <f t="shared" si="13"/>
        <v>171.21061</v>
      </c>
      <c r="N32" s="418">
        <f t="shared" si="13"/>
        <v>171.21061</v>
      </c>
      <c r="O32" s="418">
        <f t="shared" si="13"/>
        <v>171.21061</v>
      </c>
      <c r="P32" s="418">
        <f t="shared" si="13"/>
        <v>171.21061</v>
      </c>
      <c r="Q32" s="418">
        <f t="shared" si="13"/>
        <v>171.21061</v>
      </c>
      <c r="R32" s="418">
        <f t="shared" si="13"/>
        <v>171.21061</v>
      </c>
      <c r="S32" s="418">
        <f t="shared" si="13"/>
        <v>171.21061</v>
      </c>
      <c r="T32" s="418">
        <f t="shared" si="13"/>
        <v>171.21061</v>
      </c>
      <c r="U32" s="418">
        <f t="shared" si="13"/>
        <v>171.21061</v>
      </c>
      <c r="V32" s="418">
        <f t="shared" si="13"/>
        <v>171.21061</v>
      </c>
      <c r="W32" s="418">
        <f t="shared" si="13"/>
        <v>171.21061</v>
      </c>
      <c r="X32" s="418">
        <f t="shared" si="13"/>
        <v>171.21061</v>
      </c>
      <c r="Y32" s="418">
        <f t="shared" si="13"/>
        <v>171.21061</v>
      </c>
      <c r="Z32" s="418">
        <f t="shared" si="13"/>
        <v>171.21061</v>
      </c>
      <c r="AA32" s="418">
        <f t="shared" si="13"/>
        <v>171.21061</v>
      </c>
    </row>
    <row r="33" spans="1:27">
      <c r="A33" s="317" t="s">
        <v>142</v>
      </c>
      <c r="B33" s="310" t="s">
        <v>116</v>
      </c>
      <c r="C33" s="319" t="s">
        <v>129</v>
      </c>
      <c r="D33" s="415">
        <f>D39+D42</f>
        <v>193.36901151669929</v>
      </c>
      <c r="E33" s="415">
        <f>E39+E42</f>
        <v>148.17078000000001</v>
      </c>
      <c r="F33" s="415">
        <f>F39+F42+F45+F48</f>
        <v>183.94556599999999</v>
      </c>
      <c r="G33" s="416">
        <v>182</v>
      </c>
      <c r="H33" s="417">
        <f t="shared" ref="H33:AA33" si="14">H39+H42</f>
        <v>234.63789</v>
      </c>
      <c r="I33" s="418">
        <f t="shared" si="14"/>
        <v>234.63789</v>
      </c>
      <c r="J33" s="418">
        <f t="shared" si="14"/>
        <v>234.63789</v>
      </c>
      <c r="K33" s="418">
        <f t="shared" si="14"/>
        <v>234.63789</v>
      </c>
      <c r="L33" s="418">
        <f t="shared" si="14"/>
        <v>234.63789</v>
      </c>
      <c r="M33" s="418">
        <f t="shared" si="14"/>
        <v>234.63789</v>
      </c>
      <c r="N33" s="418">
        <f t="shared" si="14"/>
        <v>234.63789</v>
      </c>
      <c r="O33" s="418">
        <f t="shared" si="14"/>
        <v>234.63789</v>
      </c>
      <c r="P33" s="418">
        <f t="shared" si="14"/>
        <v>234.63789</v>
      </c>
      <c r="Q33" s="418">
        <f t="shared" si="14"/>
        <v>234.63789</v>
      </c>
      <c r="R33" s="418">
        <f t="shared" si="14"/>
        <v>234.63789</v>
      </c>
      <c r="S33" s="418">
        <f t="shared" si="14"/>
        <v>234.63789</v>
      </c>
      <c r="T33" s="418">
        <f t="shared" si="14"/>
        <v>234.63789</v>
      </c>
      <c r="U33" s="418">
        <f t="shared" si="14"/>
        <v>234.63789</v>
      </c>
      <c r="V33" s="418">
        <f t="shared" si="14"/>
        <v>234.63789</v>
      </c>
      <c r="W33" s="418">
        <f t="shared" si="14"/>
        <v>234.63789</v>
      </c>
      <c r="X33" s="418">
        <f t="shared" si="14"/>
        <v>234.63789</v>
      </c>
      <c r="Y33" s="418">
        <f t="shared" si="14"/>
        <v>234.63789</v>
      </c>
      <c r="Z33" s="418">
        <f t="shared" si="14"/>
        <v>234.63789</v>
      </c>
      <c r="AA33" s="418">
        <f t="shared" si="14"/>
        <v>234.63789</v>
      </c>
    </row>
    <row r="34" spans="1:27" ht="18">
      <c r="A34" s="317" t="s">
        <v>143</v>
      </c>
      <c r="B34" s="318" t="s">
        <v>144</v>
      </c>
      <c r="C34" s="319" t="s">
        <v>145</v>
      </c>
      <c r="D34" s="415">
        <f>D16</f>
        <v>19434.206999999999</v>
      </c>
      <c r="E34" s="415">
        <f>E16</f>
        <v>18807.753000000001</v>
      </c>
      <c r="F34" s="415">
        <f t="shared" ref="F34:M34" si="15">F16</f>
        <v>17549.903999999999</v>
      </c>
      <c r="G34" s="415">
        <f t="shared" si="15"/>
        <v>18357.861354575001</v>
      </c>
      <c r="H34" s="415">
        <f t="shared" si="15"/>
        <v>17858.439999999999</v>
      </c>
      <c r="I34" s="415">
        <f t="shared" si="15"/>
        <v>17858.439999999999</v>
      </c>
      <c r="J34" s="415">
        <f t="shared" si="15"/>
        <v>17394.643889107938</v>
      </c>
      <c r="K34" s="415">
        <f t="shared" si="15"/>
        <v>17394.643889107938</v>
      </c>
      <c r="L34" s="415">
        <f t="shared" si="15"/>
        <v>17394.643889107938</v>
      </c>
      <c r="M34" s="415">
        <f t="shared" si="15"/>
        <v>17394.643889107938</v>
      </c>
      <c r="N34" s="415">
        <f t="shared" ref="N34:AA34" si="16">N16</f>
        <v>17394.643889107938</v>
      </c>
      <c r="O34" s="415">
        <f t="shared" si="16"/>
        <v>17394.643889107938</v>
      </c>
      <c r="P34" s="415">
        <f t="shared" si="16"/>
        <v>17394.643889107938</v>
      </c>
      <c r="Q34" s="415">
        <f t="shared" si="16"/>
        <v>17394.643889107938</v>
      </c>
      <c r="R34" s="415">
        <f t="shared" si="16"/>
        <v>17394.643889107938</v>
      </c>
      <c r="S34" s="415">
        <f t="shared" si="16"/>
        <v>17394.643889107938</v>
      </c>
      <c r="T34" s="415">
        <f t="shared" si="16"/>
        <v>17394.643889107938</v>
      </c>
      <c r="U34" s="415">
        <f t="shared" si="16"/>
        <v>17394.643889107938</v>
      </c>
      <c r="V34" s="415">
        <f t="shared" si="16"/>
        <v>17394.643889107938</v>
      </c>
      <c r="W34" s="415">
        <f t="shared" si="16"/>
        <v>17394.643889107938</v>
      </c>
      <c r="X34" s="415">
        <f t="shared" si="16"/>
        <v>17394.643889107938</v>
      </c>
      <c r="Y34" s="415">
        <f t="shared" si="16"/>
        <v>17394.643889107938</v>
      </c>
      <c r="Z34" s="415">
        <f t="shared" si="16"/>
        <v>17394.643889107938</v>
      </c>
      <c r="AA34" s="415">
        <f t="shared" si="16"/>
        <v>17394.643889107938</v>
      </c>
    </row>
    <row r="35" spans="1:27" ht="30">
      <c r="A35" s="317" t="s">
        <v>146</v>
      </c>
      <c r="B35" s="318" t="s">
        <v>147</v>
      </c>
      <c r="C35" s="319" t="s">
        <v>145</v>
      </c>
      <c r="D35" s="415">
        <v>17684.364000000001</v>
      </c>
      <c r="E35" s="415">
        <v>16971.53</v>
      </c>
      <c r="F35" s="415">
        <v>17319.089</v>
      </c>
      <c r="G35" s="416">
        <v>16475.18</v>
      </c>
      <c r="H35" s="417">
        <f>'Прил 3(5)'!J28</f>
        <v>16400.64</v>
      </c>
      <c r="I35" s="418">
        <v>16400.64</v>
      </c>
      <c r="J35" s="418">
        <v>16400.64</v>
      </c>
      <c r="K35" s="418">
        <v>16400.64</v>
      </c>
      <c r="L35" s="418">
        <v>16400.64</v>
      </c>
      <c r="M35" s="418">
        <v>16400.64</v>
      </c>
      <c r="N35" s="418">
        <v>16400.64</v>
      </c>
      <c r="O35" s="418">
        <v>16400.64</v>
      </c>
      <c r="P35" s="418">
        <v>16400.64</v>
      </c>
      <c r="Q35" s="418">
        <v>16400.64</v>
      </c>
      <c r="R35" s="418">
        <v>16400.64</v>
      </c>
      <c r="S35" s="418">
        <v>16400.64</v>
      </c>
      <c r="T35" s="418">
        <v>16400.64</v>
      </c>
      <c r="U35" s="418">
        <v>16400.64</v>
      </c>
      <c r="V35" s="418">
        <v>16400.64</v>
      </c>
      <c r="W35" s="418">
        <v>16400.64</v>
      </c>
      <c r="X35" s="418">
        <v>16400.64</v>
      </c>
      <c r="Y35" s="418">
        <v>16400.64</v>
      </c>
      <c r="Z35" s="418">
        <v>16400.64</v>
      </c>
      <c r="AA35" s="418">
        <v>16400.64</v>
      </c>
    </row>
    <row r="36" spans="1:27" s="295" customFormat="1" ht="14.25">
      <c r="A36" s="303" t="s">
        <v>74</v>
      </c>
      <c r="B36" s="304" t="s">
        <v>148</v>
      </c>
      <c r="C36" s="305"/>
      <c r="D36" s="404">
        <f t="shared" ref="D36:AA36" si="17">D37+D40+D43+D46</f>
        <v>518.03022838766947</v>
      </c>
      <c r="E36" s="404">
        <f t="shared" si="17"/>
        <v>417.66760999999997</v>
      </c>
      <c r="F36" s="404">
        <f t="shared" si="17"/>
        <v>376.84263600000003</v>
      </c>
      <c r="G36" s="404">
        <f t="shared" si="17"/>
        <v>372.14144999999996</v>
      </c>
      <c r="H36" s="413">
        <f t="shared" si="17"/>
        <v>577.66417000000001</v>
      </c>
      <c r="I36" s="413">
        <f t="shared" si="17"/>
        <v>577.66417000000001</v>
      </c>
      <c r="J36" s="413">
        <f t="shared" si="17"/>
        <v>577.66417000000001</v>
      </c>
      <c r="K36" s="413">
        <f t="shared" si="17"/>
        <v>577.66417000000001</v>
      </c>
      <c r="L36" s="413">
        <f t="shared" si="17"/>
        <v>577.66417000000001</v>
      </c>
      <c r="M36" s="413">
        <f t="shared" si="17"/>
        <v>577.66417000000001</v>
      </c>
      <c r="N36" s="413">
        <f t="shared" si="17"/>
        <v>577.66417000000001</v>
      </c>
      <c r="O36" s="413">
        <f t="shared" si="17"/>
        <v>577.66417000000001</v>
      </c>
      <c r="P36" s="413">
        <f t="shared" si="17"/>
        <v>577.66417000000001</v>
      </c>
      <c r="Q36" s="413">
        <f t="shared" si="17"/>
        <v>577.66417000000001</v>
      </c>
      <c r="R36" s="413">
        <f t="shared" si="17"/>
        <v>577.66417000000001</v>
      </c>
      <c r="S36" s="413">
        <f t="shared" si="17"/>
        <v>577.66417000000001</v>
      </c>
      <c r="T36" s="413">
        <f t="shared" si="17"/>
        <v>577.66417000000001</v>
      </c>
      <c r="U36" s="413">
        <f t="shared" si="17"/>
        <v>577.66417000000001</v>
      </c>
      <c r="V36" s="413">
        <f t="shared" si="17"/>
        <v>577.66417000000001</v>
      </c>
      <c r="W36" s="413">
        <f t="shared" si="17"/>
        <v>577.66417000000001</v>
      </c>
      <c r="X36" s="413">
        <f t="shared" si="17"/>
        <v>577.66417000000001</v>
      </c>
      <c r="Y36" s="413">
        <f t="shared" si="17"/>
        <v>577.66417000000001</v>
      </c>
      <c r="Z36" s="413">
        <f t="shared" si="17"/>
        <v>577.66417000000001</v>
      </c>
      <c r="AA36" s="413">
        <f t="shared" si="17"/>
        <v>577.66417000000001</v>
      </c>
    </row>
    <row r="37" spans="1:27">
      <c r="A37" s="331" t="s">
        <v>76</v>
      </c>
      <c r="B37" s="332" t="s">
        <v>149</v>
      </c>
      <c r="C37" s="311"/>
      <c r="D37" s="415">
        <f t="shared" ref="D37:AA37" si="18">D38+D39</f>
        <v>297.60986855786899</v>
      </c>
      <c r="E37" s="404">
        <f t="shared" si="18"/>
        <v>229.61279999999999</v>
      </c>
      <c r="F37" s="404">
        <f t="shared" si="18"/>
        <v>205.78100000000001</v>
      </c>
      <c r="G37" s="404">
        <f t="shared" si="18"/>
        <v>208.75826000000001</v>
      </c>
      <c r="H37" s="413">
        <f t="shared" si="18"/>
        <v>366.8485</v>
      </c>
      <c r="I37" s="413">
        <f t="shared" si="18"/>
        <v>366.8485</v>
      </c>
      <c r="J37" s="413">
        <f t="shared" si="18"/>
        <v>366.8485</v>
      </c>
      <c r="K37" s="413">
        <f t="shared" si="18"/>
        <v>366.8485</v>
      </c>
      <c r="L37" s="413">
        <f t="shared" si="18"/>
        <v>366.8485</v>
      </c>
      <c r="M37" s="413">
        <f t="shared" si="18"/>
        <v>366.8485</v>
      </c>
      <c r="N37" s="413">
        <f t="shared" si="18"/>
        <v>366.8485</v>
      </c>
      <c r="O37" s="413">
        <f t="shared" si="18"/>
        <v>366.8485</v>
      </c>
      <c r="P37" s="413">
        <f t="shared" si="18"/>
        <v>366.8485</v>
      </c>
      <c r="Q37" s="413">
        <f t="shared" si="18"/>
        <v>366.8485</v>
      </c>
      <c r="R37" s="413">
        <f t="shared" si="18"/>
        <v>366.8485</v>
      </c>
      <c r="S37" s="413">
        <f t="shared" si="18"/>
        <v>366.8485</v>
      </c>
      <c r="T37" s="413">
        <f t="shared" si="18"/>
        <v>366.8485</v>
      </c>
      <c r="U37" s="413">
        <f t="shared" si="18"/>
        <v>366.8485</v>
      </c>
      <c r="V37" s="413">
        <f t="shared" si="18"/>
        <v>366.8485</v>
      </c>
      <c r="W37" s="413">
        <f t="shared" si="18"/>
        <v>366.8485</v>
      </c>
      <c r="X37" s="413">
        <f t="shared" si="18"/>
        <v>366.8485</v>
      </c>
      <c r="Y37" s="413">
        <f t="shared" si="18"/>
        <v>366.8485</v>
      </c>
      <c r="Z37" s="413">
        <f t="shared" si="18"/>
        <v>366.8485</v>
      </c>
      <c r="AA37" s="413">
        <f t="shared" si="18"/>
        <v>366.8485</v>
      </c>
    </row>
    <row r="38" spans="1:27">
      <c r="A38" s="331" t="s">
        <v>78</v>
      </c>
      <c r="B38" s="310" t="s">
        <v>115</v>
      </c>
      <c r="C38" s="311"/>
      <c r="D38" s="415">
        <v>121.07637085314801</v>
      </c>
      <c r="E38" s="415">
        <v>101.9328</v>
      </c>
      <c r="F38" s="415">
        <v>87.981999999999999</v>
      </c>
      <c r="G38" s="415">
        <v>89.088160000000002</v>
      </c>
      <c r="H38" s="418">
        <v>153.81061</v>
      </c>
      <c r="I38" s="418">
        <v>153.81061</v>
      </c>
      <c r="J38" s="418">
        <v>153.81061</v>
      </c>
      <c r="K38" s="418">
        <v>153.81061</v>
      </c>
      <c r="L38" s="418">
        <v>153.81061</v>
      </c>
      <c r="M38" s="418">
        <v>153.81061</v>
      </c>
      <c r="N38" s="418">
        <v>153.81061</v>
      </c>
      <c r="O38" s="418">
        <v>153.81061</v>
      </c>
      <c r="P38" s="418">
        <v>153.81061</v>
      </c>
      <c r="Q38" s="418">
        <v>153.81061</v>
      </c>
      <c r="R38" s="418">
        <v>153.81061</v>
      </c>
      <c r="S38" s="418">
        <v>153.81061</v>
      </c>
      <c r="T38" s="418">
        <v>153.81061</v>
      </c>
      <c r="U38" s="418">
        <v>153.81061</v>
      </c>
      <c r="V38" s="418">
        <v>153.81061</v>
      </c>
      <c r="W38" s="418">
        <v>153.81061</v>
      </c>
      <c r="X38" s="418">
        <v>153.81061</v>
      </c>
      <c r="Y38" s="418">
        <v>153.81061</v>
      </c>
      <c r="Z38" s="418">
        <v>153.81061</v>
      </c>
      <c r="AA38" s="418">
        <v>153.81061</v>
      </c>
    </row>
    <row r="39" spans="1:27">
      <c r="A39" s="331" t="s">
        <v>80</v>
      </c>
      <c r="B39" s="310" t="s">
        <v>116</v>
      </c>
      <c r="C39" s="311"/>
      <c r="D39" s="415">
        <v>176.53349770472099</v>
      </c>
      <c r="E39" s="415">
        <v>127.68</v>
      </c>
      <c r="F39" s="415">
        <v>117.79900000000001</v>
      </c>
      <c r="G39" s="415">
        <v>119.67010000000001</v>
      </c>
      <c r="H39" s="418">
        <v>213.03789</v>
      </c>
      <c r="I39" s="418">
        <v>213.03789</v>
      </c>
      <c r="J39" s="418">
        <v>213.03789</v>
      </c>
      <c r="K39" s="418">
        <v>213.03789</v>
      </c>
      <c r="L39" s="418">
        <v>213.03789</v>
      </c>
      <c r="M39" s="418">
        <v>213.03789</v>
      </c>
      <c r="N39" s="418">
        <v>213.03789</v>
      </c>
      <c r="O39" s="418">
        <v>213.03789</v>
      </c>
      <c r="P39" s="418">
        <v>213.03789</v>
      </c>
      <c r="Q39" s="418">
        <v>213.03789</v>
      </c>
      <c r="R39" s="418">
        <v>213.03789</v>
      </c>
      <c r="S39" s="418">
        <v>213.03789</v>
      </c>
      <c r="T39" s="418">
        <v>213.03789</v>
      </c>
      <c r="U39" s="418">
        <v>213.03789</v>
      </c>
      <c r="V39" s="418">
        <v>213.03789</v>
      </c>
      <c r="W39" s="418">
        <v>213.03789</v>
      </c>
      <c r="X39" s="418">
        <v>213.03789</v>
      </c>
      <c r="Y39" s="418">
        <v>213.03789</v>
      </c>
      <c r="Z39" s="418">
        <v>213.03789</v>
      </c>
      <c r="AA39" s="418">
        <v>213.03789</v>
      </c>
    </row>
    <row r="40" spans="1:27">
      <c r="A40" s="331" t="s">
        <v>82</v>
      </c>
      <c r="B40" s="332" t="s">
        <v>150</v>
      </c>
      <c r="C40" s="311"/>
      <c r="D40" s="419">
        <f t="shared" ref="D40:AA40" si="19">D41+D42</f>
        <v>37.551157796441302</v>
      </c>
      <c r="E40" s="419">
        <f t="shared" si="19"/>
        <v>42.894779999999997</v>
      </c>
      <c r="F40" s="419">
        <f t="shared" si="19"/>
        <v>24.561675999999999</v>
      </c>
      <c r="G40" s="419">
        <f t="shared" si="19"/>
        <v>24.083399999999997</v>
      </c>
      <c r="H40" s="420">
        <f t="shared" si="19"/>
        <v>39</v>
      </c>
      <c r="I40" s="420">
        <f t="shared" si="19"/>
        <v>39</v>
      </c>
      <c r="J40" s="420">
        <f t="shared" si="19"/>
        <v>39</v>
      </c>
      <c r="K40" s="420">
        <f t="shared" si="19"/>
        <v>39</v>
      </c>
      <c r="L40" s="420">
        <f t="shared" si="19"/>
        <v>39</v>
      </c>
      <c r="M40" s="420">
        <f t="shared" si="19"/>
        <v>39</v>
      </c>
      <c r="N40" s="420">
        <f t="shared" si="19"/>
        <v>39</v>
      </c>
      <c r="O40" s="420">
        <f t="shared" si="19"/>
        <v>39</v>
      </c>
      <c r="P40" s="420">
        <f t="shared" si="19"/>
        <v>39</v>
      </c>
      <c r="Q40" s="420">
        <f t="shared" si="19"/>
        <v>39</v>
      </c>
      <c r="R40" s="420">
        <f t="shared" si="19"/>
        <v>39</v>
      </c>
      <c r="S40" s="420">
        <f t="shared" si="19"/>
        <v>39</v>
      </c>
      <c r="T40" s="420">
        <f t="shared" si="19"/>
        <v>39</v>
      </c>
      <c r="U40" s="420">
        <f t="shared" si="19"/>
        <v>39</v>
      </c>
      <c r="V40" s="420">
        <f t="shared" si="19"/>
        <v>39</v>
      </c>
      <c r="W40" s="420">
        <f t="shared" si="19"/>
        <v>39</v>
      </c>
      <c r="X40" s="420">
        <f t="shared" si="19"/>
        <v>39</v>
      </c>
      <c r="Y40" s="420">
        <f t="shared" si="19"/>
        <v>39</v>
      </c>
      <c r="Z40" s="420">
        <f t="shared" si="19"/>
        <v>39</v>
      </c>
      <c r="AA40" s="420">
        <f t="shared" si="19"/>
        <v>39</v>
      </c>
    </row>
    <row r="41" spans="1:27">
      <c r="A41" s="331" t="s">
        <v>85</v>
      </c>
      <c r="B41" s="310" t="s">
        <v>115</v>
      </c>
      <c r="C41" s="311"/>
      <c r="D41" s="415">
        <v>20.715643984463</v>
      </c>
      <c r="E41" s="415">
        <v>22.404</v>
      </c>
      <c r="F41" s="415">
        <v>15.571669999999999</v>
      </c>
      <c r="G41" s="415">
        <v>13.070499999999999</v>
      </c>
      <c r="H41" s="418">
        <v>17.399999999999999</v>
      </c>
      <c r="I41" s="418">
        <v>17.399999999999999</v>
      </c>
      <c r="J41" s="418">
        <v>17.399999999999999</v>
      </c>
      <c r="K41" s="418">
        <v>17.399999999999999</v>
      </c>
      <c r="L41" s="418">
        <v>17.399999999999999</v>
      </c>
      <c r="M41" s="418">
        <v>17.399999999999999</v>
      </c>
      <c r="N41" s="418">
        <v>17.399999999999999</v>
      </c>
      <c r="O41" s="418">
        <v>17.399999999999999</v>
      </c>
      <c r="P41" s="418">
        <v>17.399999999999999</v>
      </c>
      <c r="Q41" s="418">
        <v>17.399999999999999</v>
      </c>
      <c r="R41" s="418">
        <v>17.399999999999999</v>
      </c>
      <c r="S41" s="418">
        <v>17.399999999999999</v>
      </c>
      <c r="T41" s="418">
        <v>17.399999999999999</v>
      </c>
      <c r="U41" s="418">
        <v>17.399999999999999</v>
      </c>
      <c r="V41" s="418">
        <v>17.399999999999999</v>
      </c>
      <c r="W41" s="418">
        <v>17.399999999999999</v>
      </c>
      <c r="X41" s="418">
        <v>17.399999999999999</v>
      </c>
      <c r="Y41" s="418">
        <v>17.399999999999999</v>
      </c>
      <c r="Z41" s="418">
        <v>17.399999999999999</v>
      </c>
      <c r="AA41" s="418">
        <v>17.399999999999999</v>
      </c>
    </row>
    <row r="42" spans="1:27">
      <c r="A42" s="331" t="s">
        <v>88</v>
      </c>
      <c r="B42" s="310" t="s">
        <v>116</v>
      </c>
      <c r="C42" s="311"/>
      <c r="D42" s="415">
        <v>16.835513811978299</v>
      </c>
      <c r="E42" s="415">
        <v>20.490780000000001</v>
      </c>
      <c r="F42" s="415">
        <v>8.9900059999999993</v>
      </c>
      <c r="G42" s="415">
        <v>11.0129</v>
      </c>
      <c r="H42" s="418">
        <v>21.6</v>
      </c>
      <c r="I42" s="418">
        <v>21.6</v>
      </c>
      <c r="J42" s="418">
        <v>21.6</v>
      </c>
      <c r="K42" s="418">
        <v>21.6</v>
      </c>
      <c r="L42" s="418">
        <v>21.6</v>
      </c>
      <c r="M42" s="418">
        <v>21.6</v>
      </c>
      <c r="N42" s="418">
        <v>21.6</v>
      </c>
      <c r="O42" s="418">
        <v>21.6</v>
      </c>
      <c r="P42" s="418">
        <v>21.6</v>
      </c>
      <c r="Q42" s="418">
        <v>21.6</v>
      </c>
      <c r="R42" s="418">
        <v>21.6</v>
      </c>
      <c r="S42" s="418">
        <v>21.6</v>
      </c>
      <c r="T42" s="418">
        <v>21.6</v>
      </c>
      <c r="U42" s="418">
        <v>21.6</v>
      </c>
      <c r="V42" s="418">
        <v>21.6</v>
      </c>
      <c r="W42" s="418">
        <v>21.6</v>
      </c>
      <c r="X42" s="418">
        <v>21.6</v>
      </c>
      <c r="Y42" s="418">
        <v>21.6</v>
      </c>
      <c r="Z42" s="418">
        <v>21.6</v>
      </c>
      <c r="AA42" s="418">
        <v>21.6</v>
      </c>
    </row>
    <row r="43" spans="1:27">
      <c r="A43" s="331" t="s">
        <v>90</v>
      </c>
      <c r="B43" s="332" t="s">
        <v>151</v>
      </c>
      <c r="C43" s="311"/>
      <c r="D43" s="419">
        <f t="shared" ref="D43:AA43" si="20">D44+D45</f>
        <v>70.126180947304292</v>
      </c>
      <c r="E43" s="419">
        <f t="shared" si="20"/>
        <v>61.644390000000001</v>
      </c>
      <c r="F43" s="419">
        <f t="shared" si="20"/>
        <v>82.799959999999999</v>
      </c>
      <c r="G43" s="419">
        <f t="shared" si="20"/>
        <v>70.632990000000007</v>
      </c>
      <c r="H43" s="420">
        <f t="shared" si="20"/>
        <v>53.59</v>
      </c>
      <c r="I43" s="420">
        <f t="shared" si="20"/>
        <v>53.59</v>
      </c>
      <c r="J43" s="420">
        <f t="shared" si="20"/>
        <v>53.59</v>
      </c>
      <c r="K43" s="420">
        <f t="shared" si="20"/>
        <v>53.59</v>
      </c>
      <c r="L43" s="420">
        <f t="shared" si="20"/>
        <v>53.59</v>
      </c>
      <c r="M43" s="420">
        <f t="shared" si="20"/>
        <v>53.59</v>
      </c>
      <c r="N43" s="420">
        <f t="shared" si="20"/>
        <v>53.59</v>
      </c>
      <c r="O43" s="420">
        <f t="shared" si="20"/>
        <v>53.59</v>
      </c>
      <c r="P43" s="420">
        <f t="shared" si="20"/>
        <v>53.59</v>
      </c>
      <c r="Q43" s="420">
        <f t="shared" si="20"/>
        <v>53.59</v>
      </c>
      <c r="R43" s="420">
        <f t="shared" si="20"/>
        <v>53.59</v>
      </c>
      <c r="S43" s="420">
        <f t="shared" si="20"/>
        <v>53.59</v>
      </c>
      <c r="T43" s="420">
        <f t="shared" si="20"/>
        <v>53.59</v>
      </c>
      <c r="U43" s="420">
        <f t="shared" si="20"/>
        <v>53.59</v>
      </c>
      <c r="V43" s="420">
        <f t="shared" si="20"/>
        <v>53.59</v>
      </c>
      <c r="W43" s="420">
        <f t="shared" si="20"/>
        <v>53.59</v>
      </c>
      <c r="X43" s="420">
        <f t="shared" si="20"/>
        <v>53.59</v>
      </c>
      <c r="Y43" s="420">
        <f t="shared" si="20"/>
        <v>53.59</v>
      </c>
      <c r="Z43" s="420">
        <f t="shared" si="20"/>
        <v>53.59</v>
      </c>
      <c r="AA43" s="420">
        <f t="shared" si="20"/>
        <v>53.59</v>
      </c>
    </row>
    <row r="44" spans="1:27">
      <c r="A44" s="331" t="s">
        <v>92</v>
      </c>
      <c r="B44" s="310" t="s">
        <v>115</v>
      </c>
      <c r="C44" s="311"/>
      <c r="D44" s="415">
        <v>40.713925826673297</v>
      </c>
      <c r="E44" s="415">
        <v>34.528419999999997</v>
      </c>
      <c r="F44" s="415">
        <v>51.123399999999997</v>
      </c>
      <c r="G44" s="415">
        <v>41.51979</v>
      </c>
      <c r="H44" s="418">
        <v>32.15</v>
      </c>
      <c r="I44" s="418">
        <v>32.15</v>
      </c>
      <c r="J44" s="418">
        <v>32.15</v>
      </c>
      <c r="K44" s="418">
        <v>32.15</v>
      </c>
      <c r="L44" s="418">
        <v>32.15</v>
      </c>
      <c r="M44" s="418">
        <v>32.15</v>
      </c>
      <c r="N44" s="418">
        <v>32.15</v>
      </c>
      <c r="O44" s="418">
        <v>32.15</v>
      </c>
      <c r="P44" s="418">
        <v>32.15</v>
      </c>
      <c r="Q44" s="418">
        <v>32.15</v>
      </c>
      <c r="R44" s="418">
        <v>32.15</v>
      </c>
      <c r="S44" s="418">
        <v>32.15</v>
      </c>
      <c r="T44" s="418">
        <v>32.15</v>
      </c>
      <c r="U44" s="418">
        <v>32.15</v>
      </c>
      <c r="V44" s="418">
        <v>32.15</v>
      </c>
      <c r="W44" s="418">
        <v>32.15</v>
      </c>
      <c r="X44" s="418">
        <v>32.15</v>
      </c>
      <c r="Y44" s="418">
        <v>32.15</v>
      </c>
      <c r="Z44" s="418">
        <v>32.15</v>
      </c>
      <c r="AA44" s="418">
        <v>32.15</v>
      </c>
    </row>
    <row r="45" spans="1:27">
      <c r="A45" s="331" t="s">
        <v>93</v>
      </c>
      <c r="B45" s="310" t="s">
        <v>116</v>
      </c>
      <c r="C45" s="311"/>
      <c r="D45" s="415">
        <v>29.412255120630999</v>
      </c>
      <c r="E45" s="415">
        <v>27.115970000000001</v>
      </c>
      <c r="F45" s="415">
        <v>31.676559999999998</v>
      </c>
      <c r="G45" s="415">
        <v>29.113199999999999</v>
      </c>
      <c r="H45" s="418">
        <v>21.44</v>
      </c>
      <c r="I45" s="418">
        <v>21.44</v>
      </c>
      <c r="J45" s="418">
        <v>21.44</v>
      </c>
      <c r="K45" s="418">
        <v>21.44</v>
      </c>
      <c r="L45" s="418">
        <v>21.44</v>
      </c>
      <c r="M45" s="418">
        <v>21.44</v>
      </c>
      <c r="N45" s="418">
        <v>21.44</v>
      </c>
      <c r="O45" s="418">
        <v>21.44</v>
      </c>
      <c r="P45" s="418">
        <v>21.44</v>
      </c>
      <c r="Q45" s="418">
        <v>21.44</v>
      </c>
      <c r="R45" s="418">
        <v>21.44</v>
      </c>
      <c r="S45" s="418">
        <v>21.44</v>
      </c>
      <c r="T45" s="418">
        <v>21.44</v>
      </c>
      <c r="U45" s="418">
        <v>21.44</v>
      </c>
      <c r="V45" s="418">
        <v>21.44</v>
      </c>
      <c r="W45" s="418">
        <v>21.44</v>
      </c>
      <c r="X45" s="418">
        <v>21.44</v>
      </c>
      <c r="Y45" s="418">
        <v>21.44</v>
      </c>
      <c r="Z45" s="418">
        <v>21.44</v>
      </c>
      <c r="AA45" s="418">
        <v>21.44</v>
      </c>
    </row>
    <row r="46" spans="1:27">
      <c r="A46" s="331" t="s">
        <v>95</v>
      </c>
      <c r="B46" s="332" t="s">
        <v>152</v>
      </c>
      <c r="C46" s="311"/>
      <c r="D46" s="419">
        <f t="shared" ref="D46:AA46" si="21">D47+D48</f>
        <v>112.74302108605491</v>
      </c>
      <c r="E46" s="419">
        <f t="shared" si="21"/>
        <v>83.515640000000005</v>
      </c>
      <c r="F46" s="419">
        <f t="shared" si="21"/>
        <v>63.7</v>
      </c>
      <c r="G46" s="419">
        <f t="shared" si="21"/>
        <v>68.666799999999995</v>
      </c>
      <c r="H46" s="420">
        <f t="shared" si="21"/>
        <v>118.22567000000001</v>
      </c>
      <c r="I46" s="420">
        <f t="shared" si="21"/>
        <v>118.22567000000001</v>
      </c>
      <c r="J46" s="420">
        <f t="shared" si="21"/>
        <v>118.22567000000001</v>
      </c>
      <c r="K46" s="420">
        <f t="shared" si="21"/>
        <v>118.22567000000001</v>
      </c>
      <c r="L46" s="420">
        <f t="shared" si="21"/>
        <v>118.22567000000001</v>
      </c>
      <c r="M46" s="420">
        <f t="shared" si="21"/>
        <v>118.22567000000001</v>
      </c>
      <c r="N46" s="420">
        <f t="shared" si="21"/>
        <v>118.22567000000001</v>
      </c>
      <c r="O46" s="420">
        <f t="shared" si="21"/>
        <v>118.22567000000001</v>
      </c>
      <c r="P46" s="420">
        <f t="shared" si="21"/>
        <v>118.22567000000001</v>
      </c>
      <c r="Q46" s="420">
        <f t="shared" si="21"/>
        <v>118.22567000000001</v>
      </c>
      <c r="R46" s="420">
        <f t="shared" si="21"/>
        <v>118.22567000000001</v>
      </c>
      <c r="S46" s="420">
        <f t="shared" si="21"/>
        <v>118.22567000000001</v>
      </c>
      <c r="T46" s="420">
        <f t="shared" si="21"/>
        <v>118.22567000000001</v>
      </c>
      <c r="U46" s="420">
        <f t="shared" si="21"/>
        <v>118.22567000000001</v>
      </c>
      <c r="V46" s="420">
        <f t="shared" si="21"/>
        <v>118.22567000000001</v>
      </c>
      <c r="W46" s="420">
        <f t="shared" si="21"/>
        <v>118.22567000000001</v>
      </c>
      <c r="X46" s="420">
        <f t="shared" si="21"/>
        <v>118.22567000000001</v>
      </c>
      <c r="Y46" s="420">
        <f t="shared" si="21"/>
        <v>118.22567000000001</v>
      </c>
      <c r="Z46" s="420">
        <f t="shared" si="21"/>
        <v>118.22567000000001</v>
      </c>
      <c r="AA46" s="420">
        <f t="shared" si="21"/>
        <v>118.22567000000001</v>
      </c>
    </row>
    <row r="47" spans="1:27">
      <c r="A47" s="331" t="s">
        <v>97</v>
      </c>
      <c r="B47" s="310" t="s">
        <v>115</v>
      </c>
      <c r="C47" s="311"/>
      <c r="D47" s="415">
        <v>66.478314960979404</v>
      </c>
      <c r="E47" s="415">
        <v>49.235750000000003</v>
      </c>
      <c r="F47" s="415">
        <v>38.22</v>
      </c>
      <c r="G47" s="415">
        <v>41.2</v>
      </c>
      <c r="H47" s="418">
        <v>70.581770000000006</v>
      </c>
      <c r="I47" s="418">
        <v>70.581770000000006</v>
      </c>
      <c r="J47" s="418">
        <v>70.581770000000006</v>
      </c>
      <c r="K47" s="418">
        <v>70.581770000000006</v>
      </c>
      <c r="L47" s="418">
        <v>70.581770000000006</v>
      </c>
      <c r="M47" s="418">
        <v>70.581770000000006</v>
      </c>
      <c r="N47" s="418">
        <v>70.581770000000006</v>
      </c>
      <c r="O47" s="418">
        <v>70.581770000000006</v>
      </c>
      <c r="P47" s="418">
        <v>70.581770000000006</v>
      </c>
      <c r="Q47" s="418">
        <v>70.581770000000006</v>
      </c>
      <c r="R47" s="418">
        <v>70.581770000000006</v>
      </c>
      <c r="S47" s="418">
        <v>70.581770000000006</v>
      </c>
      <c r="T47" s="418">
        <v>70.581770000000006</v>
      </c>
      <c r="U47" s="418">
        <v>70.581770000000006</v>
      </c>
      <c r="V47" s="418">
        <v>70.581770000000006</v>
      </c>
      <c r="W47" s="418">
        <v>70.581770000000006</v>
      </c>
      <c r="X47" s="418">
        <v>70.581770000000006</v>
      </c>
      <c r="Y47" s="418">
        <v>70.581770000000006</v>
      </c>
      <c r="Z47" s="418">
        <v>70.581770000000006</v>
      </c>
      <c r="AA47" s="418">
        <v>70.581770000000006</v>
      </c>
    </row>
    <row r="48" spans="1:27">
      <c r="A48" s="331" t="s">
        <v>98</v>
      </c>
      <c r="B48" s="310" t="s">
        <v>116</v>
      </c>
      <c r="C48" s="311"/>
      <c r="D48" s="415">
        <v>46.264706125075499</v>
      </c>
      <c r="E48" s="415">
        <v>34.279890000000002</v>
      </c>
      <c r="F48" s="415">
        <v>25.48</v>
      </c>
      <c r="G48" s="416">
        <v>27.466799999999999</v>
      </c>
      <c r="H48" s="418">
        <v>47.643900000000002</v>
      </c>
      <c r="I48" s="418">
        <v>47.643900000000002</v>
      </c>
      <c r="J48" s="418">
        <v>47.643900000000002</v>
      </c>
      <c r="K48" s="418">
        <v>47.643900000000002</v>
      </c>
      <c r="L48" s="418">
        <v>47.643900000000002</v>
      </c>
      <c r="M48" s="418">
        <v>47.643900000000002</v>
      </c>
      <c r="N48" s="418">
        <v>47.643900000000002</v>
      </c>
      <c r="O48" s="418">
        <v>47.643900000000002</v>
      </c>
      <c r="P48" s="418">
        <v>47.643900000000002</v>
      </c>
      <c r="Q48" s="418">
        <v>47.643900000000002</v>
      </c>
      <c r="R48" s="418">
        <v>47.643900000000002</v>
      </c>
      <c r="S48" s="418">
        <v>47.643900000000002</v>
      </c>
      <c r="T48" s="418">
        <v>47.643900000000002</v>
      </c>
      <c r="U48" s="418">
        <v>47.643900000000002</v>
      </c>
      <c r="V48" s="418">
        <v>47.643900000000002</v>
      </c>
      <c r="W48" s="418">
        <v>47.643900000000002</v>
      </c>
      <c r="X48" s="418">
        <v>47.643900000000002</v>
      </c>
      <c r="Y48" s="418">
        <v>47.643900000000002</v>
      </c>
      <c r="Z48" s="418">
        <v>47.643900000000002</v>
      </c>
      <c r="AA48" s="418">
        <v>47.643900000000002</v>
      </c>
    </row>
    <row r="49" spans="1:28" s="295" customFormat="1" ht="16.5">
      <c r="A49" s="303" t="s">
        <v>153</v>
      </c>
      <c r="B49" s="304" t="s">
        <v>154</v>
      </c>
      <c r="C49" s="305" t="s">
        <v>155</v>
      </c>
      <c r="D49" s="421"/>
      <c r="E49" s="422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</row>
    <row r="50" spans="1:28">
      <c r="A50" s="331" t="s">
        <v>156</v>
      </c>
      <c r="B50" s="332" t="s">
        <v>157</v>
      </c>
      <c r="C50" s="319" t="s">
        <v>158</v>
      </c>
      <c r="D50" s="424">
        <f t="shared" ref="D50:F51" si="22">D16</f>
        <v>19434.206999999999</v>
      </c>
      <c r="E50" s="415">
        <f t="shared" si="22"/>
        <v>18807.753000000001</v>
      </c>
      <c r="F50" s="424">
        <f t="shared" si="22"/>
        <v>17549.903999999999</v>
      </c>
      <c r="G50" s="425">
        <v>18357.861354575001</v>
      </c>
      <c r="H50" s="425">
        <f>'Прил 3(5)'!J46</f>
        <v>17858.439999999999</v>
      </c>
      <c r="I50" s="424">
        <f t="shared" ref="I50" si="23">I16</f>
        <v>17858.439999999999</v>
      </c>
      <c r="J50" s="424">
        <v>17394.643889107938</v>
      </c>
      <c r="K50" s="424">
        <v>17394.643889107938</v>
      </c>
      <c r="L50" s="424">
        <v>17394.643889107938</v>
      </c>
      <c r="M50" s="424">
        <v>17394.643889107938</v>
      </c>
      <c r="N50" s="424">
        <v>17394.643889107938</v>
      </c>
      <c r="O50" s="424">
        <v>17394.643889107938</v>
      </c>
      <c r="P50" s="424">
        <v>17394.643889107938</v>
      </c>
      <c r="Q50" s="424">
        <v>17394.643889107938</v>
      </c>
      <c r="R50" s="424">
        <v>17394.643889107938</v>
      </c>
      <c r="S50" s="424">
        <v>17394.643889107938</v>
      </c>
      <c r="T50" s="424">
        <v>17394.643889107938</v>
      </c>
      <c r="U50" s="424">
        <v>17394.643889107938</v>
      </c>
      <c r="V50" s="424">
        <v>17394.643889107938</v>
      </c>
      <c r="W50" s="424">
        <v>17394.643889107938</v>
      </c>
      <c r="X50" s="424">
        <v>17394.643889107938</v>
      </c>
      <c r="Y50" s="424">
        <v>17394.643889107938</v>
      </c>
      <c r="Z50" s="424">
        <v>17394.643889107938</v>
      </c>
      <c r="AA50" s="424">
        <v>17394.643889107938</v>
      </c>
    </row>
    <row r="51" spans="1:28">
      <c r="A51" s="331" t="s">
        <v>159</v>
      </c>
      <c r="B51" s="332" t="s">
        <v>160</v>
      </c>
      <c r="C51" s="319" t="s">
        <v>158</v>
      </c>
      <c r="D51" s="424">
        <f t="shared" si="22"/>
        <v>12054.220190100001</v>
      </c>
      <c r="E51" s="425">
        <f t="shared" si="22"/>
        <v>11411.404319699999</v>
      </c>
      <c r="F51" s="424">
        <f t="shared" si="22"/>
        <v>11350.040679199999</v>
      </c>
      <c r="G51" s="425">
        <f>G17</f>
        <v>10904.152281299999</v>
      </c>
      <c r="H51" s="425">
        <v>10870.44</v>
      </c>
      <c r="I51" s="424">
        <f t="shared" ref="I51" si="24">I17</f>
        <v>10870.44</v>
      </c>
      <c r="J51" s="424">
        <v>10588.119735300001</v>
      </c>
      <c r="K51" s="424">
        <v>10588.119735300001</v>
      </c>
      <c r="L51" s="424">
        <v>10588.119735300001</v>
      </c>
      <c r="M51" s="424">
        <v>10588.119735300001</v>
      </c>
      <c r="N51" s="424">
        <v>10588.119735300001</v>
      </c>
      <c r="O51" s="424">
        <v>10588.119735300001</v>
      </c>
      <c r="P51" s="424">
        <v>10588.119735300001</v>
      </c>
      <c r="Q51" s="424">
        <v>10588.119735300001</v>
      </c>
      <c r="R51" s="424">
        <v>10588.119735300001</v>
      </c>
      <c r="S51" s="424">
        <v>10588.119735300001</v>
      </c>
      <c r="T51" s="424">
        <v>10588.119735300001</v>
      </c>
      <c r="U51" s="424">
        <v>10588.119735300001</v>
      </c>
      <c r="V51" s="424">
        <v>10588.119735300001</v>
      </c>
      <c r="W51" s="424">
        <v>10588.119735300001</v>
      </c>
      <c r="X51" s="424">
        <v>10588.119735300001</v>
      </c>
      <c r="Y51" s="424">
        <v>10588.119735300001</v>
      </c>
      <c r="Z51" s="424">
        <v>10588.119735300001</v>
      </c>
      <c r="AA51" s="424">
        <v>10588.119735300001</v>
      </c>
      <c r="AB51" s="546"/>
    </row>
    <row r="52" spans="1:28" s="295" customFormat="1" ht="28.5">
      <c r="A52" s="303" t="s">
        <v>161</v>
      </c>
      <c r="B52" s="304" t="s">
        <v>147</v>
      </c>
      <c r="C52" s="305" t="s">
        <v>155</v>
      </c>
      <c r="D52" s="426"/>
      <c r="E52" s="426"/>
      <c r="F52" s="426"/>
      <c r="G52" s="427"/>
      <c r="H52" s="427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548"/>
    </row>
    <row r="53" spans="1:28" ht="30">
      <c r="A53" s="331" t="s">
        <v>162</v>
      </c>
      <c r="B53" s="332" t="s">
        <v>163</v>
      </c>
      <c r="C53" s="319" t="s">
        <v>158</v>
      </c>
      <c r="D53" s="424">
        <f t="shared" ref="D53:H53" si="25">D35</f>
        <v>17684.364000000001</v>
      </c>
      <c r="E53" s="424">
        <f t="shared" si="25"/>
        <v>16971.53</v>
      </c>
      <c r="F53" s="424">
        <v>17319.089</v>
      </c>
      <c r="G53" s="425">
        <v>16475.18</v>
      </c>
      <c r="H53" s="425">
        <f t="shared" si="25"/>
        <v>16400.64</v>
      </c>
      <c r="I53" s="424">
        <f t="shared" ref="I53:AA53" si="26">I35</f>
        <v>16400.64</v>
      </c>
      <c r="J53" s="424">
        <f t="shared" si="26"/>
        <v>16400.64</v>
      </c>
      <c r="K53" s="424">
        <f t="shared" si="26"/>
        <v>16400.64</v>
      </c>
      <c r="L53" s="424">
        <f t="shared" si="26"/>
        <v>16400.64</v>
      </c>
      <c r="M53" s="424">
        <f t="shared" si="26"/>
        <v>16400.64</v>
      </c>
      <c r="N53" s="424">
        <f t="shared" si="26"/>
        <v>16400.64</v>
      </c>
      <c r="O53" s="424">
        <f t="shared" si="26"/>
        <v>16400.64</v>
      </c>
      <c r="P53" s="424">
        <f t="shared" si="26"/>
        <v>16400.64</v>
      </c>
      <c r="Q53" s="424">
        <f t="shared" si="26"/>
        <v>16400.64</v>
      </c>
      <c r="R53" s="424">
        <f t="shared" si="26"/>
        <v>16400.64</v>
      </c>
      <c r="S53" s="424">
        <f t="shared" si="26"/>
        <v>16400.64</v>
      </c>
      <c r="T53" s="424">
        <f t="shared" si="26"/>
        <v>16400.64</v>
      </c>
      <c r="U53" s="424">
        <f t="shared" si="26"/>
        <v>16400.64</v>
      </c>
      <c r="V53" s="424">
        <f t="shared" si="26"/>
        <v>16400.64</v>
      </c>
      <c r="W53" s="424">
        <f t="shared" si="26"/>
        <v>16400.64</v>
      </c>
      <c r="X53" s="424">
        <f t="shared" si="26"/>
        <v>16400.64</v>
      </c>
      <c r="Y53" s="424">
        <f t="shared" si="26"/>
        <v>16400.64</v>
      </c>
      <c r="Z53" s="424">
        <f t="shared" si="26"/>
        <v>16400.64</v>
      </c>
      <c r="AA53" s="424">
        <f t="shared" si="26"/>
        <v>16400.64</v>
      </c>
    </row>
    <row r="54" spans="1:28" s="295" customFormat="1" ht="14.25">
      <c r="A54" s="303" t="s">
        <v>164</v>
      </c>
      <c r="B54" s="304" t="s">
        <v>165</v>
      </c>
      <c r="C54" s="305" t="s">
        <v>16</v>
      </c>
      <c r="D54" s="428"/>
      <c r="E54" s="429"/>
      <c r="F54" s="429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548"/>
    </row>
    <row r="55" spans="1:28" ht="45">
      <c r="A55" s="125" t="s">
        <v>166</v>
      </c>
      <c r="B55" s="318" t="s">
        <v>167</v>
      </c>
      <c r="C55" s="341" t="s">
        <v>16</v>
      </c>
      <c r="D55" s="430">
        <f t="shared" ref="D55:AA55" si="27">D56/D50</f>
        <v>0.37974211193181168</v>
      </c>
      <c r="E55" s="430">
        <f t="shared" si="27"/>
        <v>0.39326062397246503</v>
      </c>
      <c r="F55" s="430">
        <f t="shared" si="27"/>
        <v>0.30866512102019023</v>
      </c>
      <c r="G55" s="431">
        <f t="shared" si="27"/>
        <v>0.34056036351704533</v>
      </c>
      <c r="H55" s="431">
        <f t="shared" si="27"/>
        <v>0.3912995759987995</v>
      </c>
      <c r="I55" s="430">
        <f t="shared" si="27"/>
        <v>0.3912995759987995</v>
      </c>
      <c r="J55" s="430">
        <f t="shared" si="27"/>
        <v>0.39129999999999998</v>
      </c>
      <c r="K55" s="430">
        <f t="shared" si="27"/>
        <v>0.39129999999999998</v>
      </c>
      <c r="L55" s="430">
        <f t="shared" si="27"/>
        <v>0.39129999999999998</v>
      </c>
      <c r="M55" s="430">
        <f t="shared" si="27"/>
        <v>0.39129999999999998</v>
      </c>
      <c r="N55" s="430">
        <f t="shared" si="27"/>
        <v>0.39129999999999998</v>
      </c>
      <c r="O55" s="430">
        <f t="shared" si="27"/>
        <v>0.39129999999999998</v>
      </c>
      <c r="P55" s="430">
        <f t="shared" si="27"/>
        <v>0.39129999999999998</v>
      </c>
      <c r="Q55" s="430">
        <f t="shared" si="27"/>
        <v>0.39129999999999998</v>
      </c>
      <c r="R55" s="430">
        <f t="shared" si="27"/>
        <v>0.39129999999999998</v>
      </c>
      <c r="S55" s="430">
        <f t="shared" si="27"/>
        <v>0.39129999999999998</v>
      </c>
      <c r="T55" s="430">
        <f t="shared" si="27"/>
        <v>0.39129999999999998</v>
      </c>
      <c r="U55" s="430">
        <f t="shared" si="27"/>
        <v>0.39129999999999998</v>
      </c>
      <c r="V55" s="430">
        <f t="shared" si="27"/>
        <v>0.39129999999999998</v>
      </c>
      <c r="W55" s="430">
        <f t="shared" si="27"/>
        <v>0.39129999999999998</v>
      </c>
      <c r="X55" s="430">
        <f t="shared" si="27"/>
        <v>0.39129999999999998</v>
      </c>
      <c r="Y55" s="430">
        <f t="shared" si="27"/>
        <v>0.39129999999999998</v>
      </c>
      <c r="Z55" s="430">
        <f t="shared" si="27"/>
        <v>0.39129999999999998</v>
      </c>
      <c r="AA55" s="430">
        <f t="shared" si="27"/>
        <v>0.39129999999999998</v>
      </c>
      <c r="AB55" s="546"/>
    </row>
    <row r="56" spans="1:28" ht="30">
      <c r="A56" s="125" t="s">
        <v>168</v>
      </c>
      <c r="B56" s="318" t="s">
        <v>169</v>
      </c>
      <c r="C56" s="341" t="s">
        <v>158</v>
      </c>
      <c r="D56" s="424">
        <f>D15</f>
        <v>7379.9868098999978</v>
      </c>
      <c r="E56" s="424">
        <f>E15</f>
        <v>7396.3486803000014</v>
      </c>
      <c r="F56" s="424">
        <f>'Прил 3(5)'!H45</f>
        <v>5417.0432420527204</v>
      </c>
      <c r="G56" s="425">
        <f>'Прил 3(5)'!I45</f>
        <v>6251.9599363095804</v>
      </c>
      <c r="H56" s="432">
        <f>'Прил 3(5)'!J45</f>
        <v>6988</v>
      </c>
      <c r="I56" s="432">
        <f>'Прил 3(5)'!K45</f>
        <v>6988</v>
      </c>
      <c r="J56" s="432">
        <f>'Прил 3(5)'!L45</f>
        <v>6806.5241538079354</v>
      </c>
      <c r="K56" s="432">
        <f>'Прил 3(5)'!M45</f>
        <v>6806.5241538079354</v>
      </c>
      <c r="L56" s="432">
        <f>'Прил 3(5)'!N45</f>
        <v>6806.5241538079354</v>
      </c>
      <c r="M56" s="432">
        <f>'Прил 3(5)'!O45</f>
        <v>6806.5241538079354</v>
      </c>
      <c r="N56" s="432">
        <f>'Прил 3(5)'!P45</f>
        <v>6806.5241538079354</v>
      </c>
      <c r="O56" s="432">
        <f>'Прил 3(5)'!Q45</f>
        <v>6806.5241538079354</v>
      </c>
      <c r="P56" s="432">
        <f>'Прил 3(5)'!R45</f>
        <v>6806.5241538079354</v>
      </c>
      <c r="Q56" s="432">
        <f>'Прил 3(5)'!S45</f>
        <v>6806.5241538079354</v>
      </c>
      <c r="R56" s="432">
        <f>'Прил 3(5)'!T45</f>
        <v>6806.5241538079354</v>
      </c>
      <c r="S56" s="432">
        <f>'Прил 3(5)'!U45</f>
        <v>6806.5241538079354</v>
      </c>
      <c r="T56" s="432">
        <f>'Прил 3(5)'!V45</f>
        <v>6806.5241538079354</v>
      </c>
      <c r="U56" s="432">
        <f>'Прил 3(5)'!W45</f>
        <v>6806.5241538079354</v>
      </c>
      <c r="V56" s="432">
        <f>'Прил 3(5)'!X45</f>
        <v>6806.5241538079354</v>
      </c>
      <c r="W56" s="432">
        <f>'Прил 3(5)'!Y45</f>
        <v>6806.5241538079354</v>
      </c>
      <c r="X56" s="432">
        <f>'Прил 3(5)'!Z45</f>
        <v>6806.5241538079354</v>
      </c>
      <c r="Y56" s="432">
        <f>'Прил 3(5)'!AA45</f>
        <v>6806.5241538079354</v>
      </c>
      <c r="Z56" s="432">
        <f>'Прил 3(5)'!AB45</f>
        <v>6806.5241538079354</v>
      </c>
      <c r="AA56" s="432">
        <f>'Прил 3(5)'!AC45</f>
        <v>6806.5241538079354</v>
      </c>
    </row>
    <row r="57" spans="1:28" s="295" customFormat="1" ht="28.5">
      <c r="A57" s="303" t="s">
        <v>170</v>
      </c>
      <c r="B57" s="304" t="s">
        <v>171</v>
      </c>
      <c r="C57" s="305" t="s">
        <v>114</v>
      </c>
      <c r="D57" s="404">
        <f t="shared" ref="D57:AA57" si="28">D58+D59</f>
        <v>0</v>
      </c>
      <c r="E57" s="404">
        <f t="shared" si="28"/>
        <v>596.46500000000003</v>
      </c>
      <c r="F57" s="404">
        <f t="shared" si="28"/>
        <v>26853.87311</v>
      </c>
      <c r="G57" s="404">
        <f t="shared" si="28"/>
        <v>17443.216359999999</v>
      </c>
      <c r="H57" s="413">
        <f t="shared" si="28"/>
        <v>0</v>
      </c>
      <c r="I57" s="413">
        <f t="shared" si="28"/>
        <v>0</v>
      </c>
      <c r="J57" s="413">
        <f t="shared" si="28"/>
        <v>0</v>
      </c>
      <c r="K57" s="413">
        <f t="shared" si="28"/>
        <v>0</v>
      </c>
      <c r="L57" s="413">
        <f t="shared" si="28"/>
        <v>0</v>
      </c>
      <c r="M57" s="413">
        <f t="shared" si="28"/>
        <v>0</v>
      </c>
      <c r="N57" s="413">
        <f t="shared" si="28"/>
        <v>0</v>
      </c>
      <c r="O57" s="413">
        <f t="shared" si="28"/>
        <v>0</v>
      </c>
      <c r="P57" s="413">
        <f t="shared" si="28"/>
        <v>0</v>
      </c>
      <c r="Q57" s="413">
        <f t="shared" si="28"/>
        <v>0</v>
      </c>
      <c r="R57" s="413">
        <f t="shared" si="28"/>
        <v>0</v>
      </c>
      <c r="S57" s="413">
        <f t="shared" si="28"/>
        <v>0</v>
      </c>
      <c r="T57" s="413">
        <f t="shared" si="28"/>
        <v>0</v>
      </c>
      <c r="U57" s="413">
        <f t="shared" si="28"/>
        <v>0</v>
      </c>
      <c r="V57" s="413">
        <f t="shared" si="28"/>
        <v>0</v>
      </c>
      <c r="W57" s="413">
        <f t="shared" si="28"/>
        <v>0</v>
      </c>
      <c r="X57" s="413">
        <f t="shared" si="28"/>
        <v>0</v>
      </c>
      <c r="Y57" s="413">
        <f t="shared" si="28"/>
        <v>0</v>
      </c>
      <c r="Z57" s="413">
        <f t="shared" si="28"/>
        <v>0</v>
      </c>
      <c r="AA57" s="413">
        <f t="shared" si="28"/>
        <v>0</v>
      </c>
    </row>
    <row r="58" spans="1:28">
      <c r="A58" s="125" t="s">
        <v>172</v>
      </c>
      <c r="B58" s="310" t="s">
        <v>115</v>
      </c>
      <c r="C58" s="319" t="s">
        <v>114</v>
      </c>
      <c r="D58" s="346">
        <v>0</v>
      </c>
      <c r="E58" s="346">
        <v>596.46500000000003</v>
      </c>
      <c r="F58" s="346">
        <v>12713.87311</v>
      </c>
      <c r="G58" s="346">
        <v>17443.216359999999</v>
      </c>
      <c r="H58" s="346">
        <v>0</v>
      </c>
      <c r="I58" s="346">
        <v>0</v>
      </c>
      <c r="J58" s="346">
        <v>0</v>
      </c>
      <c r="K58" s="346">
        <v>0</v>
      </c>
      <c r="L58" s="346">
        <v>0</v>
      </c>
      <c r="M58" s="346">
        <v>0</v>
      </c>
      <c r="N58" s="346">
        <v>0</v>
      </c>
      <c r="O58" s="346">
        <v>0</v>
      </c>
      <c r="P58" s="346">
        <v>0</v>
      </c>
      <c r="Q58" s="346">
        <v>0</v>
      </c>
      <c r="R58" s="346">
        <v>0</v>
      </c>
      <c r="S58" s="346">
        <v>0</v>
      </c>
      <c r="T58" s="346">
        <v>0</v>
      </c>
      <c r="U58" s="346">
        <v>0</v>
      </c>
      <c r="V58" s="346">
        <v>0</v>
      </c>
      <c r="W58" s="346">
        <f t="shared" ref="W58:W61" si="29">V58</f>
        <v>0</v>
      </c>
      <c r="X58" s="346">
        <v>0</v>
      </c>
      <c r="Y58" s="346">
        <v>0</v>
      </c>
      <c r="Z58" s="346">
        <v>0</v>
      </c>
      <c r="AA58" s="346">
        <v>0</v>
      </c>
    </row>
    <row r="59" spans="1:28">
      <c r="A59" s="125" t="s">
        <v>173</v>
      </c>
      <c r="B59" s="310" t="s">
        <v>116</v>
      </c>
      <c r="C59" s="319" t="s">
        <v>114</v>
      </c>
      <c r="D59" s="346">
        <v>0</v>
      </c>
      <c r="E59" s="346">
        <v>0</v>
      </c>
      <c r="F59" s="346">
        <v>14140</v>
      </c>
      <c r="G59" s="346">
        <v>0</v>
      </c>
      <c r="H59" s="346">
        <v>0</v>
      </c>
      <c r="I59" s="346">
        <v>0</v>
      </c>
      <c r="J59" s="346">
        <v>0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46">
        <v>0</v>
      </c>
      <c r="Q59" s="346">
        <v>0</v>
      </c>
      <c r="R59" s="346">
        <v>0</v>
      </c>
      <c r="S59" s="346">
        <v>0</v>
      </c>
      <c r="T59" s="346">
        <v>0</v>
      </c>
      <c r="U59" s="346">
        <v>0</v>
      </c>
      <c r="V59" s="346">
        <v>0</v>
      </c>
      <c r="W59" s="346">
        <f t="shared" si="29"/>
        <v>0</v>
      </c>
      <c r="X59" s="346">
        <v>0</v>
      </c>
      <c r="Y59" s="346">
        <v>0</v>
      </c>
      <c r="Z59" s="346">
        <v>0</v>
      </c>
      <c r="AA59" s="346">
        <v>0</v>
      </c>
    </row>
    <row r="60" spans="1:28" s="295" customFormat="1" ht="14.25">
      <c r="A60" s="585" t="s">
        <v>174</v>
      </c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</row>
    <row r="61" spans="1:28" s="295" customFormat="1" ht="57">
      <c r="A61" s="303" t="s">
        <v>175</v>
      </c>
      <c r="B61" s="304" t="s">
        <v>176</v>
      </c>
      <c r="C61" s="305"/>
      <c r="D61" s="421"/>
      <c r="E61" s="423"/>
      <c r="F61" s="423" t="s">
        <v>29</v>
      </c>
      <c r="G61" s="423" t="s">
        <v>29</v>
      </c>
      <c r="H61" s="423" t="s">
        <v>29</v>
      </c>
      <c r="I61" s="343" t="s">
        <v>29</v>
      </c>
      <c r="J61" s="343" t="s">
        <v>29</v>
      </c>
      <c r="K61" s="343" t="s">
        <v>29</v>
      </c>
      <c r="L61" s="343" t="s">
        <v>29</v>
      </c>
      <c r="M61" s="343" t="s">
        <v>29</v>
      </c>
      <c r="N61" s="343" t="s">
        <v>29</v>
      </c>
      <c r="O61" s="343" t="s">
        <v>29</v>
      </c>
      <c r="P61" s="343" t="s">
        <v>29</v>
      </c>
      <c r="Q61" s="343" t="s">
        <v>29</v>
      </c>
      <c r="R61" s="343" t="s">
        <v>29</v>
      </c>
      <c r="S61" s="343" t="s">
        <v>29</v>
      </c>
      <c r="T61" s="343" t="s">
        <v>29</v>
      </c>
      <c r="U61" s="343" t="s">
        <v>29</v>
      </c>
      <c r="V61" s="343" t="s">
        <v>29</v>
      </c>
      <c r="W61" s="343" t="str">
        <f t="shared" si="29"/>
        <v>х</v>
      </c>
      <c r="X61" s="343" t="s">
        <v>29</v>
      </c>
      <c r="Y61" s="343" t="s">
        <v>29</v>
      </c>
      <c r="Z61" s="343" t="s">
        <v>29</v>
      </c>
      <c r="AA61" s="343" t="s">
        <v>29</v>
      </c>
    </row>
    <row r="62" spans="1:28">
      <c r="A62" s="317" t="s">
        <v>177</v>
      </c>
      <c r="B62" s="318" t="s">
        <v>178</v>
      </c>
      <c r="C62" s="319" t="s">
        <v>16</v>
      </c>
      <c r="D62" s="433">
        <v>1</v>
      </c>
      <c r="E62" s="433">
        <v>1</v>
      </c>
      <c r="F62" s="434">
        <v>1</v>
      </c>
      <c r="G62" s="434">
        <v>0.998</v>
      </c>
      <c r="H62" s="434">
        <v>0.96</v>
      </c>
      <c r="I62" s="347">
        <v>0.97</v>
      </c>
      <c r="J62" s="347">
        <v>0.97</v>
      </c>
      <c r="K62" s="347">
        <v>0.97</v>
      </c>
      <c r="L62" s="347">
        <v>0.97</v>
      </c>
      <c r="M62" s="347">
        <v>0.97</v>
      </c>
      <c r="N62" s="347">
        <v>0.97</v>
      </c>
      <c r="O62" s="347">
        <v>0.97</v>
      </c>
      <c r="P62" s="347">
        <v>0.97</v>
      </c>
      <c r="Q62" s="347">
        <v>0.97</v>
      </c>
      <c r="R62" s="347">
        <v>0.97</v>
      </c>
      <c r="S62" s="314">
        <v>0.97</v>
      </c>
      <c r="T62" s="314">
        <v>0.97</v>
      </c>
      <c r="U62" s="314">
        <v>0.97</v>
      </c>
      <c r="V62" s="314">
        <v>0.97</v>
      </c>
      <c r="W62" s="314">
        <v>0.97</v>
      </c>
      <c r="X62" s="314">
        <v>0.97</v>
      </c>
      <c r="Y62" s="314">
        <v>0.97</v>
      </c>
      <c r="Z62" s="314">
        <v>0.97</v>
      </c>
      <c r="AA62" s="314">
        <v>0.97</v>
      </c>
    </row>
    <row r="63" spans="1:28" ht="30">
      <c r="A63" s="317" t="s">
        <v>179</v>
      </c>
      <c r="B63" s="318" t="s">
        <v>180</v>
      </c>
      <c r="C63" s="319" t="s">
        <v>16</v>
      </c>
      <c r="D63" s="433">
        <v>1</v>
      </c>
      <c r="E63" s="434">
        <v>0.99980000000000002</v>
      </c>
      <c r="F63" s="434">
        <v>0.99780000000000002</v>
      </c>
      <c r="G63" s="434">
        <v>0.99399999999999999</v>
      </c>
      <c r="H63" s="434">
        <v>0.96</v>
      </c>
      <c r="I63" s="347">
        <v>0.97</v>
      </c>
      <c r="J63" s="347">
        <v>0.97</v>
      </c>
      <c r="K63" s="347">
        <v>0.97</v>
      </c>
      <c r="L63" s="347">
        <v>0.97</v>
      </c>
      <c r="M63" s="347">
        <v>0.97</v>
      </c>
      <c r="N63" s="347">
        <v>0.97</v>
      </c>
      <c r="O63" s="347">
        <v>0.97</v>
      </c>
      <c r="P63" s="347">
        <v>0.97</v>
      </c>
      <c r="Q63" s="347">
        <v>0.97</v>
      </c>
      <c r="R63" s="347">
        <v>0.97</v>
      </c>
      <c r="S63" s="314">
        <v>0.97</v>
      </c>
      <c r="T63" s="314">
        <v>0.97</v>
      </c>
      <c r="U63" s="314">
        <v>0.97</v>
      </c>
      <c r="V63" s="314">
        <v>0.97</v>
      </c>
      <c r="W63" s="314">
        <v>0.97</v>
      </c>
      <c r="X63" s="314">
        <v>0.97</v>
      </c>
      <c r="Y63" s="314">
        <v>0.97</v>
      </c>
      <c r="Z63" s="314">
        <v>0.97</v>
      </c>
      <c r="AA63" s="314">
        <v>0.97</v>
      </c>
    </row>
    <row r="64" spans="1:28">
      <c r="A64" s="317" t="s">
        <v>181</v>
      </c>
      <c r="B64" s="310" t="s">
        <v>182</v>
      </c>
      <c r="C64" s="319" t="s">
        <v>183</v>
      </c>
      <c r="D64" s="346" t="s">
        <v>184</v>
      </c>
      <c r="E64" s="346">
        <v>2.5</v>
      </c>
      <c r="F64" s="346">
        <v>100</v>
      </c>
      <c r="G64" s="346">
        <v>2.1</v>
      </c>
      <c r="H64" s="346" t="s">
        <v>184</v>
      </c>
      <c r="I64" s="436" t="s">
        <v>184</v>
      </c>
      <c r="J64" s="436" t="s">
        <v>184</v>
      </c>
      <c r="K64" s="436" t="s">
        <v>184</v>
      </c>
      <c r="L64" s="436" t="s">
        <v>184</v>
      </c>
      <c r="M64" s="436" t="s">
        <v>184</v>
      </c>
      <c r="N64" s="436" t="s">
        <v>184</v>
      </c>
      <c r="O64" s="436" t="s">
        <v>184</v>
      </c>
      <c r="P64" s="436" t="s">
        <v>184</v>
      </c>
      <c r="Q64" s="436" t="s">
        <v>184</v>
      </c>
      <c r="R64" s="436" t="s">
        <v>184</v>
      </c>
      <c r="S64" s="436" t="s">
        <v>184</v>
      </c>
      <c r="T64" s="436" t="s">
        <v>184</v>
      </c>
      <c r="U64" s="436" t="s">
        <v>184</v>
      </c>
      <c r="V64" s="436" t="s">
        <v>184</v>
      </c>
      <c r="W64" s="436" t="s">
        <v>184</v>
      </c>
      <c r="X64" s="436" t="s">
        <v>184</v>
      </c>
      <c r="Y64" s="436" t="s">
        <v>184</v>
      </c>
      <c r="Z64" s="436" t="s">
        <v>184</v>
      </c>
      <c r="AA64" s="436" t="s">
        <v>184</v>
      </c>
    </row>
    <row r="65" spans="1:27">
      <c r="A65" s="317" t="s">
        <v>185</v>
      </c>
      <c r="B65" s="310" t="s">
        <v>186</v>
      </c>
      <c r="C65" s="319" t="s">
        <v>187</v>
      </c>
      <c r="D65" s="346" t="s">
        <v>188</v>
      </c>
      <c r="E65" s="346" t="s">
        <v>189</v>
      </c>
      <c r="F65" s="346">
        <v>99.78</v>
      </c>
      <c r="G65" s="346" t="s">
        <v>189</v>
      </c>
      <c r="H65" s="346" t="s">
        <v>188</v>
      </c>
      <c r="I65" s="436" t="s">
        <v>188</v>
      </c>
      <c r="J65" s="436" t="s">
        <v>188</v>
      </c>
      <c r="K65" s="436" t="s">
        <v>188</v>
      </c>
      <c r="L65" s="436" t="s">
        <v>188</v>
      </c>
      <c r="M65" s="436" t="s">
        <v>188</v>
      </c>
      <c r="N65" s="436" t="s">
        <v>188</v>
      </c>
      <c r="O65" s="436" t="s">
        <v>188</v>
      </c>
      <c r="P65" s="436" t="s">
        <v>188</v>
      </c>
      <c r="Q65" s="436" t="s">
        <v>188</v>
      </c>
      <c r="R65" s="436" t="s">
        <v>188</v>
      </c>
      <c r="S65" s="436" t="s">
        <v>188</v>
      </c>
      <c r="T65" s="436" t="s">
        <v>188</v>
      </c>
      <c r="U65" s="436" t="s">
        <v>188</v>
      </c>
      <c r="V65" s="436" t="s">
        <v>188</v>
      </c>
      <c r="W65" s="436" t="s">
        <v>188</v>
      </c>
      <c r="X65" s="436" t="s">
        <v>188</v>
      </c>
      <c r="Y65" s="436" t="s">
        <v>188</v>
      </c>
      <c r="Z65" s="436" t="s">
        <v>188</v>
      </c>
      <c r="AA65" s="436" t="s">
        <v>188</v>
      </c>
    </row>
    <row r="66" spans="1:27">
      <c r="A66" s="317" t="s">
        <v>190</v>
      </c>
      <c r="B66" s="310" t="s">
        <v>191</v>
      </c>
      <c r="C66" s="319" t="s">
        <v>192</v>
      </c>
      <c r="D66" s="346" t="s">
        <v>193</v>
      </c>
      <c r="E66" s="346">
        <v>1</v>
      </c>
      <c r="F66" s="346">
        <v>99.98</v>
      </c>
      <c r="G66" s="346">
        <v>1</v>
      </c>
      <c r="H66" s="346" t="s">
        <v>193</v>
      </c>
      <c r="I66" s="436" t="s">
        <v>193</v>
      </c>
      <c r="J66" s="436" t="s">
        <v>193</v>
      </c>
      <c r="K66" s="436" t="s">
        <v>193</v>
      </c>
      <c r="L66" s="436" t="s">
        <v>193</v>
      </c>
      <c r="M66" s="436" t="s">
        <v>193</v>
      </c>
      <c r="N66" s="436" t="s">
        <v>193</v>
      </c>
      <c r="O66" s="436" t="s">
        <v>193</v>
      </c>
      <c r="P66" s="436" t="s">
        <v>193</v>
      </c>
      <c r="Q66" s="436" t="s">
        <v>193</v>
      </c>
      <c r="R66" s="436" t="s">
        <v>193</v>
      </c>
      <c r="S66" s="436" t="s">
        <v>193</v>
      </c>
      <c r="T66" s="436" t="s">
        <v>193</v>
      </c>
      <c r="U66" s="436" t="s">
        <v>193</v>
      </c>
      <c r="V66" s="436" t="s">
        <v>193</v>
      </c>
      <c r="W66" s="436" t="s">
        <v>193</v>
      </c>
      <c r="X66" s="436" t="s">
        <v>193</v>
      </c>
      <c r="Y66" s="436" t="s">
        <v>193</v>
      </c>
      <c r="Z66" s="436" t="s">
        <v>193</v>
      </c>
      <c r="AA66" s="436" t="s">
        <v>193</v>
      </c>
    </row>
    <row r="67" spans="1:27">
      <c r="A67" s="317" t="s">
        <v>194</v>
      </c>
      <c r="B67" s="310" t="s">
        <v>195</v>
      </c>
      <c r="C67" s="319" t="s">
        <v>196</v>
      </c>
      <c r="D67" s="346" t="s">
        <v>197</v>
      </c>
      <c r="E67" s="346">
        <v>5.2</v>
      </c>
      <c r="F67" s="346">
        <v>100</v>
      </c>
      <c r="G67" s="346">
        <v>5.2</v>
      </c>
      <c r="H67" s="346" t="s">
        <v>197</v>
      </c>
      <c r="I67" s="436" t="s">
        <v>197</v>
      </c>
      <c r="J67" s="436" t="s">
        <v>197</v>
      </c>
      <c r="K67" s="436" t="s">
        <v>197</v>
      </c>
      <c r="L67" s="436" t="s">
        <v>197</v>
      </c>
      <c r="M67" s="436" t="s">
        <v>197</v>
      </c>
      <c r="N67" s="436" t="s">
        <v>197</v>
      </c>
      <c r="O67" s="436" t="s">
        <v>197</v>
      </c>
      <c r="P67" s="436" t="s">
        <v>197</v>
      </c>
      <c r="Q67" s="436" t="s">
        <v>197</v>
      </c>
      <c r="R67" s="436" t="s">
        <v>197</v>
      </c>
      <c r="S67" s="436" t="s">
        <v>197</v>
      </c>
      <c r="T67" s="436" t="s">
        <v>197</v>
      </c>
      <c r="U67" s="436" t="s">
        <v>197</v>
      </c>
      <c r="V67" s="436" t="s">
        <v>197</v>
      </c>
      <c r="W67" s="436" t="s">
        <v>197</v>
      </c>
      <c r="X67" s="436" t="s">
        <v>197</v>
      </c>
      <c r="Y67" s="436" t="s">
        <v>197</v>
      </c>
      <c r="Z67" s="436" t="s">
        <v>197</v>
      </c>
      <c r="AA67" s="436" t="s">
        <v>197</v>
      </c>
    </row>
    <row r="68" spans="1:27">
      <c r="A68" s="317" t="s">
        <v>198</v>
      </c>
      <c r="B68" s="310" t="s">
        <v>199</v>
      </c>
      <c r="C68" s="319" t="s">
        <v>200</v>
      </c>
      <c r="D68" s="346" t="s">
        <v>201</v>
      </c>
      <c r="E68" s="346">
        <v>17.5</v>
      </c>
      <c r="F68" s="346">
        <v>100</v>
      </c>
      <c r="G68" s="346">
        <v>22</v>
      </c>
      <c r="H68" s="346" t="s">
        <v>201</v>
      </c>
      <c r="I68" s="436" t="s">
        <v>201</v>
      </c>
      <c r="J68" s="436" t="s">
        <v>201</v>
      </c>
      <c r="K68" s="436" t="s">
        <v>201</v>
      </c>
      <c r="L68" s="436" t="s">
        <v>201</v>
      </c>
      <c r="M68" s="436" t="s">
        <v>201</v>
      </c>
      <c r="N68" s="436" t="s">
        <v>201</v>
      </c>
      <c r="O68" s="436" t="s">
        <v>201</v>
      </c>
      <c r="P68" s="436" t="s">
        <v>201</v>
      </c>
      <c r="Q68" s="436" t="s">
        <v>201</v>
      </c>
      <c r="R68" s="436" t="s">
        <v>201</v>
      </c>
      <c r="S68" s="436" t="s">
        <v>201</v>
      </c>
      <c r="T68" s="436" t="s">
        <v>201</v>
      </c>
      <c r="U68" s="436" t="s">
        <v>201</v>
      </c>
      <c r="V68" s="436" t="s">
        <v>201</v>
      </c>
      <c r="W68" s="436" t="s">
        <v>201</v>
      </c>
      <c r="X68" s="436" t="s">
        <v>201</v>
      </c>
      <c r="Y68" s="436" t="s">
        <v>201</v>
      </c>
      <c r="Z68" s="436" t="s">
        <v>201</v>
      </c>
      <c r="AA68" s="436" t="s">
        <v>201</v>
      </c>
    </row>
    <row r="69" spans="1:27">
      <c r="A69" s="317" t="s">
        <v>202</v>
      </c>
      <c r="B69" s="310" t="s">
        <v>203</v>
      </c>
      <c r="C69" s="319" t="s">
        <v>200</v>
      </c>
      <c r="D69" s="346" t="s">
        <v>204</v>
      </c>
      <c r="E69" s="346" t="s">
        <v>205</v>
      </c>
      <c r="F69" s="346">
        <v>100</v>
      </c>
      <c r="G69" s="346">
        <v>1.9</v>
      </c>
      <c r="H69" s="346" t="s">
        <v>204</v>
      </c>
      <c r="I69" s="436" t="s">
        <v>204</v>
      </c>
      <c r="J69" s="436" t="s">
        <v>204</v>
      </c>
      <c r="K69" s="436" t="s">
        <v>204</v>
      </c>
      <c r="L69" s="436" t="s">
        <v>204</v>
      </c>
      <c r="M69" s="436" t="s">
        <v>204</v>
      </c>
      <c r="N69" s="436" t="s">
        <v>204</v>
      </c>
      <c r="O69" s="436" t="s">
        <v>204</v>
      </c>
      <c r="P69" s="436" t="s">
        <v>204</v>
      </c>
      <c r="Q69" s="436" t="s">
        <v>204</v>
      </c>
      <c r="R69" s="436" t="s">
        <v>204</v>
      </c>
      <c r="S69" s="436" t="s">
        <v>204</v>
      </c>
      <c r="T69" s="436" t="s">
        <v>204</v>
      </c>
      <c r="U69" s="436" t="s">
        <v>204</v>
      </c>
      <c r="V69" s="436" t="s">
        <v>204</v>
      </c>
      <c r="W69" s="436" t="s">
        <v>204</v>
      </c>
      <c r="X69" s="436" t="s">
        <v>204</v>
      </c>
      <c r="Y69" s="436" t="s">
        <v>204</v>
      </c>
      <c r="Z69" s="436" t="s">
        <v>204</v>
      </c>
      <c r="AA69" s="436" t="s">
        <v>204</v>
      </c>
    </row>
    <row r="70" spans="1:27" s="295" customFormat="1" ht="42.75">
      <c r="A70" s="361" t="s">
        <v>206</v>
      </c>
      <c r="B70" s="362" t="s">
        <v>207</v>
      </c>
      <c r="C70" s="363" t="s">
        <v>16</v>
      </c>
      <c r="D70" s="410">
        <v>1</v>
      </c>
      <c r="E70" s="410">
        <v>1</v>
      </c>
      <c r="F70" s="410">
        <v>1</v>
      </c>
      <c r="G70" s="410">
        <v>1</v>
      </c>
      <c r="H70" s="410">
        <v>1</v>
      </c>
      <c r="I70" s="349">
        <v>1</v>
      </c>
      <c r="J70" s="349">
        <v>1</v>
      </c>
      <c r="K70" s="349">
        <v>1</v>
      </c>
      <c r="L70" s="349">
        <v>1</v>
      </c>
      <c r="M70" s="349">
        <v>1</v>
      </c>
      <c r="N70" s="349">
        <v>1</v>
      </c>
      <c r="O70" s="349">
        <v>1</v>
      </c>
      <c r="P70" s="349">
        <v>1</v>
      </c>
      <c r="Q70" s="349">
        <v>1</v>
      </c>
      <c r="R70" s="349">
        <v>1</v>
      </c>
      <c r="S70" s="349">
        <v>1</v>
      </c>
      <c r="T70" s="349">
        <v>1</v>
      </c>
      <c r="U70" s="349">
        <v>1</v>
      </c>
      <c r="V70" s="349">
        <v>1</v>
      </c>
      <c r="W70" s="349">
        <f t="shared" ref="W70:AA71" si="30">V70</f>
        <v>1</v>
      </c>
      <c r="X70" s="349">
        <f t="shared" si="30"/>
        <v>1</v>
      </c>
      <c r="Y70" s="349">
        <f t="shared" si="30"/>
        <v>1</v>
      </c>
      <c r="Z70" s="349">
        <f t="shared" si="30"/>
        <v>1</v>
      </c>
      <c r="AA70" s="349">
        <f t="shared" si="30"/>
        <v>1</v>
      </c>
    </row>
    <row r="71" spans="1:27" s="295" customFormat="1" ht="28.5">
      <c r="A71" s="303" t="s">
        <v>208</v>
      </c>
      <c r="B71" s="304" t="s">
        <v>209</v>
      </c>
      <c r="C71" s="305" t="s">
        <v>16</v>
      </c>
      <c r="D71" s="410">
        <v>1</v>
      </c>
      <c r="E71" s="410">
        <v>1</v>
      </c>
      <c r="F71" s="410">
        <v>0.99</v>
      </c>
      <c r="G71" s="410">
        <v>0.99</v>
      </c>
      <c r="H71" s="410">
        <v>0.99</v>
      </c>
      <c r="I71" s="349">
        <v>0.99099999999999999</v>
      </c>
      <c r="J71" s="349">
        <v>0.99099999999999999</v>
      </c>
      <c r="K71" s="349">
        <v>0.99099999999999999</v>
      </c>
      <c r="L71" s="349">
        <v>0.99099999999999999</v>
      </c>
      <c r="M71" s="349">
        <v>0.99099999999999999</v>
      </c>
      <c r="N71" s="349">
        <v>0.99199999999999999</v>
      </c>
      <c r="O71" s="349">
        <v>0.99199999999999999</v>
      </c>
      <c r="P71" s="349">
        <v>0.99199999999999999</v>
      </c>
      <c r="Q71" s="349">
        <v>0.99199999999999999</v>
      </c>
      <c r="R71" s="349">
        <v>0.99199999999999999</v>
      </c>
      <c r="S71" s="349">
        <v>0.99299999999999999</v>
      </c>
      <c r="T71" s="349">
        <v>0.99299999999999999</v>
      </c>
      <c r="U71" s="349">
        <v>0.99299999999999999</v>
      </c>
      <c r="V71" s="349">
        <v>0.99299999999999999</v>
      </c>
      <c r="W71" s="349">
        <f t="shared" si="30"/>
        <v>0.99299999999999999</v>
      </c>
      <c r="X71" s="349">
        <f t="shared" si="30"/>
        <v>0.99299999999999999</v>
      </c>
      <c r="Y71" s="349">
        <f t="shared" si="30"/>
        <v>0.99299999999999999</v>
      </c>
      <c r="Z71" s="349">
        <f t="shared" si="30"/>
        <v>0.99299999999999999</v>
      </c>
      <c r="AA71" s="349">
        <f t="shared" si="30"/>
        <v>0.99299999999999999</v>
      </c>
    </row>
    <row r="72" spans="1:27" s="295" customFormat="1" ht="14.25" customHeight="1">
      <c r="A72" s="586" t="s">
        <v>210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</row>
    <row r="73" spans="1:27" s="295" customFormat="1" ht="28.5">
      <c r="A73" s="303" t="s">
        <v>211</v>
      </c>
      <c r="B73" s="304" t="s">
        <v>212</v>
      </c>
      <c r="C73" s="305" t="s">
        <v>213</v>
      </c>
      <c r="D73" s="437">
        <f t="shared" ref="D73:AA73" si="31">D74+D75</f>
        <v>1.3791577459889439</v>
      </c>
      <c r="E73" s="437">
        <f t="shared" si="31"/>
        <v>12.635356850442694</v>
      </c>
      <c r="F73" s="438">
        <f t="shared" si="31"/>
        <v>1.1899982428962808</v>
      </c>
      <c r="G73" s="438">
        <f t="shared" si="31"/>
        <v>1.189890207925492</v>
      </c>
      <c r="H73" s="438">
        <f t="shared" si="31"/>
        <v>2.5249425306777833</v>
      </c>
      <c r="I73" s="396">
        <f t="shared" si="31"/>
        <v>2.4080928333491736</v>
      </c>
      <c r="J73" s="396">
        <f t="shared" si="31"/>
        <v>2.2944970616869722</v>
      </c>
      <c r="K73" s="396">
        <f t="shared" si="31"/>
        <v>2.1931728214458954</v>
      </c>
      <c r="L73" s="396">
        <f t="shared" si="31"/>
        <v>2.0808837835822462</v>
      </c>
      <c r="M73" s="396">
        <f t="shared" si="31"/>
        <v>1.9798266830224618</v>
      </c>
      <c r="N73" s="396">
        <f t="shared" si="31"/>
        <v>1.8835294970655163</v>
      </c>
      <c r="O73" s="396">
        <f t="shared" si="31"/>
        <v>1.7952282370619228</v>
      </c>
      <c r="P73" s="396">
        <f t="shared" si="31"/>
        <v>1.7081837406293618</v>
      </c>
      <c r="Q73" s="396">
        <f t="shared" si="31"/>
        <v>1.6409013868166031</v>
      </c>
      <c r="R73" s="396">
        <f t="shared" si="31"/>
        <v>1.5771221840356504</v>
      </c>
      <c r="S73" s="396">
        <f t="shared" si="31"/>
        <v>1.5200821436370167</v>
      </c>
      <c r="T73" s="396">
        <f t="shared" si="31"/>
        <v>1.4652884906991559</v>
      </c>
      <c r="U73" s="396">
        <f t="shared" si="31"/>
        <v>1.4175011398249071</v>
      </c>
      <c r="V73" s="396">
        <f t="shared" si="31"/>
        <v>1.3617178629973061</v>
      </c>
      <c r="W73" s="396">
        <f t="shared" si="31"/>
        <v>1.2991377262108412</v>
      </c>
      <c r="X73" s="396">
        <f t="shared" si="31"/>
        <v>1.2514344705704035</v>
      </c>
      <c r="Y73" s="396">
        <f t="shared" si="31"/>
        <v>1.2002280638981602</v>
      </c>
      <c r="Z73" s="396">
        <f t="shared" si="31"/>
        <v>1.1595311103213342</v>
      </c>
      <c r="AA73" s="396">
        <f t="shared" si="31"/>
        <v>1.1490216572259166</v>
      </c>
    </row>
    <row r="74" spans="1:27">
      <c r="A74" s="317" t="s">
        <v>214</v>
      </c>
      <c r="B74" s="310" t="s">
        <v>115</v>
      </c>
      <c r="C74" s="319" t="s">
        <v>213</v>
      </c>
      <c r="D74" s="439">
        <f t="shared" ref="D74:AA74" si="32">D80/D77</f>
        <v>0.21101873744692753</v>
      </c>
      <c r="E74" s="407">
        <f t="shared" si="32"/>
        <v>0.24093361776885433</v>
      </c>
      <c r="F74" s="407">
        <f t="shared" si="32"/>
        <v>0.21</v>
      </c>
      <c r="G74" s="407">
        <f t="shared" si="32"/>
        <v>0.20853523607318805</v>
      </c>
      <c r="H74" s="407">
        <f t="shared" si="32"/>
        <v>0.36798572311599731</v>
      </c>
      <c r="I74" s="357">
        <f t="shared" si="32"/>
        <v>0.33978460536313321</v>
      </c>
      <c r="J74" s="407">
        <f t="shared" si="32"/>
        <v>0.32572618181208801</v>
      </c>
      <c r="K74" s="407">
        <f t="shared" si="32"/>
        <v>0.31898701942976893</v>
      </c>
      <c r="L74" s="549">
        <f t="shared" si="32"/>
        <v>0.29427675736126568</v>
      </c>
      <c r="M74" s="549">
        <f t="shared" si="32"/>
        <v>0.28079843259662757</v>
      </c>
      <c r="N74" s="549">
        <f t="shared" si="32"/>
        <v>0.2650737203712164</v>
      </c>
      <c r="O74" s="549">
        <f t="shared" si="32"/>
        <v>0.25384178306735133</v>
      </c>
      <c r="P74" s="549">
        <f t="shared" si="32"/>
        <v>0.24036345830271322</v>
      </c>
      <c r="Q74" s="549">
        <f t="shared" si="32"/>
        <v>0.22913152099884809</v>
      </c>
      <c r="R74" s="549">
        <f t="shared" si="32"/>
        <v>0.217899583694983</v>
      </c>
      <c r="S74" s="549">
        <f t="shared" si="32"/>
        <v>0.21340680877343696</v>
      </c>
      <c r="T74" s="549">
        <f t="shared" si="32"/>
        <v>0.21116042131266394</v>
      </c>
      <c r="U74" s="549">
        <f t="shared" si="32"/>
        <v>0.20891403385189092</v>
      </c>
      <c r="V74" s="549">
        <f t="shared" si="32"/>
        <v>0.20217487146957186</v>
      </c>
      <c r="W74" s="549">
        <f t="shared" si="32"/>
        <v>0.18163254706477697</v>
      </c>
      <c r="X74" s="549">
        <f t="shared" si="32"/>
        <v>0.17947025483781534</v>
      </c>
      <c r="Y74" s="549">
        <f t="shared" si="32"/>
        <v>0.17730796261085371</v>
      </c>
      <c r="Z74" s="549">
        <f t="shared" si="32"/>
        <v>0.17514567038389206</v>
      </c>
      <c r="AA74" s="549">
        <f t="shared" si="32"/>
        <v>0.17514567038389206</v>
      </c>
    </row>
    <row r="75" spans="1:27">
      <c r="A75" s="317" t="s">
        <v>215</v>
      </c>
      <c r="B75" s="310" t="s">
        <v>116</v>
      </c>
      <c r="C75" s="319" t="s">
        <v>213</v>
      </c>
      <c r="D75" s="439">
        <f t="shared" ref="D75:AA75" si="33">D81/D78</f>
        <v>1.1681390085420165</v>
      </c>
      <c r="E75" s="407">
        <f t="shared" si="33"/>
        <v>12.394423232673839</v>
      </c>
      <c r="F75" s="407">
        <f t="shared" si="33"/>
        <v>0.97999824289628068</v>
      </c>
      <c r="G75" s="407">
        <f t="shared" si="33"/>
        <v>0.98135497185230391</v>
      </c>
      <c r="H75" s="407">
        <f t="shared" si="33"/>
        <v>2.156956807561786</v>
      </c>
      <c r="I75" s="357">
        <f t="shared" si="33"/>
        <v>2.0683082279860403</v>
      </c>
      <c r="J75" s="357">
        <f t="shared" si="33"/>
        <v>1.9687708798748842</v>
      </c>
      <c r="K75" s="357">
        <f t="shared" si="33"/>
        <v>1.8741858020161264</v>
      </c>
      <c r="L75" s="357">
        <f t="shared" si="33"/>
        <v>1.7866070262209803</v>
      </c>
      <c r="M75" s="357">
        <f t="shared" si="33"/>
        <v>1.6990282504258343</v>
      </c>
      <c r="N75" s="357">
        <f t="shared" si="33"/>
        <v>1.6184557766943</v>
      </c>
      <c r="O75" s="357">
        <f t="shared" si="33"/>
        <v>1.5413864539945714</v>
      </c>
      <c r="P75" s="357">
        <f t="shared" si="33"/>
        <v>1.4678202823266486</v>
      </c>
      <c r="Q75" s="357">
        <f t="shared" si="33"/>
        <v>1.4117698658177551</v>
      </c>
      <c r="R75" s="357">
        <f t="shared" si="33"/>
        <v>1.3592226003406673</v>
      </c>
      <c r="S75" s="357">
        <f t="shared" si="33"/>
        <v>1.3066753348635798</v>
      </c>
      <c r="T75" s="357">
        <f t="shared" si="33"/>
        <v>1.254128069386492</v>
      </c>
      <c r="U75" s="357">
        <f t="shared" si="33"/>
        <v>1.2085871059730162</v>
      </c>
      <c r="V75" s="357">
        <f t="shared" si="33"/>
        <v>1.1595429915277342</v>
      </c>
      <c r="W75" s="357">
        <f t="shared" si="33"/>
        <v>1.1175051791460642</v>
      </c>
      <c r="X75" s="357">
        <f t="shared" si="33"/>
        <v>1.0719642157325882</v>
      </c>
      <c r="Y75" s="357">
        <f t="shared" si="33"/>
        <v>1.0229201012873064</v>
      </c>
      <c r="Z75" s="357">
        <f t="shared" si="33"/>
        <v>0.9843854399374421</v>
      </c>
      <c r="AA75" s="357">
        <f t="shared" si="33"/>
        <v>0.97387598684202459</v>
      </c>
    </row>
    <row r="76" spans="1:27" s="296" customFormat="1" ht="30">
      <c r="A76" s="317" t="s">
        <v>216</v>
      </c>
      <c r="B76" s="318" t="s">
        <v>132</v>
      </c>
      <c r="C76" s="319" t="s">
        <v>133</v>
      </c>
      <c r="D76" s="439">
        <f t="shared" ref="D76:AA76" si="34">D77+D78</f>
        <v>667.27</v>
      </c>
      <c r="E76" s="407">
        <f t="shared" si="34"/>
        <v>675.02600000000007</v>
      </c>
      <c r="F76" s="407">
        <f t="shared" si="34"/>
        <v>687.64869999999996</v>
      </c>
      <c r="G76" s="407">
        <f t="shared" si="34"/>
        <v>690.8578</v>
      </c>
      <c r="H76" s="407">
        <f t="shared" si="34"/>
        <v>697.19200000000001</v>
      </c>
      <c r="I76" s="357">
        <f t="shared" si="34"/>
        <v>729.65647000000001</v>
      </c>
      <c r="J76" s="357">
        <f t="shared" si="34"/>
        <v>730.61646999999994</v>
      </c>
      <c r="K76" s="357">
        <f t="shared" si="34"/>
        <v>730.61646999999994</v>
      </c>
      <c r="L76" s="357">
        <f t="shared" si="34"/>
        <v>730.61646999999994</v>
      </c>
      <c r="M76" s="357">
        <f t="shared" si="34"/>
        <v>730.61646999999994</v>
      </c>
      <c r="N76" s="357">
        <f t="shared" si="34"/>
        <v>730.61646999999994</v>
      </c>
      <c r="O76" s="357">
        <f t="shared" si="34"/>
        <v>730.61646999999994</v>
      </c>
      <c r="P76" s="357">
        <f t="shared" si="34"/>
        <v>730.61646999999994</v>
      </c>
      <c r="Q76" s="357">
        <f t="shared" si="34"/>
        <v>730.61646999999994</v>
      </c>
      <c r="R76" s="357">
        <f t="shared" si="34"/>
        <v>730.61646999999994</v>
      </c>
      <c r="S76" s="357">
        <f t="shared" si="34"/>
        <v>730.61646999999994</v>
      </c>
      <c r="T76" s="357">
        <f t="shared" si="34"/>
        <v>730.61646999999994</v>
      </c>
      <c r="U76" s="357">
        <f t="shared" si="34"/>
        <v>730.61646999999994</v>
      </c>
      <c r="V76" s="357">
        <f t="shared" si="34"/>
        <v>730.61646999999994</v>
      </c>
      <c r="W76" s="357">
        <f t="shared" si="34"/>
        <v>747.92947000000004</v>
      </c>
      <c r="X76" s="357">
        <f t="shared" si="34"/>
        <v>747.92947000000004</v>
      </c>
      <c r="Y76" s="357">
        <f t="shared" si="34"/>
        <v>747.92947000000004</v>
      </c>
      <c r="Z76" s="357">
        <f t="shared" si="34"/>
        <v>747.92947000000004</v>
      </c>
      <c r="AA76" s="357">
        <f t="shared" si="34"/>
        <v>747.92947000000004</v>
      </c>
    </row>
    <row r="77" spans="1:27">
      <c r="A77" s="317" t="s">
        <v>217</v>
      </c>
      <c r="B77" s="310" t="s">
        <v>115</v>
      </c>
      <c r="C77" s="319" t="s">
        <v>133</v>
      </c>
      <c r="D77" s="440">
        <f>D26</f>
        <v>393.33</v>
      </c>
      <c r="E77" s="425">
        <f>'Прил 3(5)'!G24</f>
        <v>398.45</v>
      </c>
      <c r="F77" s="425">
        <f t="shared" ref="F77:AA77" si="35">F26</f>
        <v>408.78070000000002</v>
      </c>
      <c r="G77" s="425">
        <f t="shared" si="35"/>
        <v>411.65199999999999</v>
      </c>
      <c r="H77" s="425">
        <f t="shared" si="35"/>
        <v>415.77699999999999</v>
      </c>
      <c r="I77" s="359">
        <f t="shared" si="35"/>
        <v>444.39918</v>
      </c>
      <c r="J77" s="359">
        <f t="shared" si="35"/>
        <v>445.15917999999999</v>
      </c>
      <c r="K77" s="359">
        <f t="shared" si="35"/>
        <v>445.15917999999999</v>
      </c>
      <c r="L77" s="359">
        <f t="shared" si="35"/>
        <v>445.15917999999999</v>
      </c>
      <c r="M77" s="359">
        <f t="shared" si="35"/>
        <v>445.15917999999999</v>
      </c>
      <c r="N77" s="359">
        <f t="shared" si="35"/>
        <v>445.15917999999999</v>
      </c>
      <c r="O77" s="359">
        <f t="shared" si="35"/>
        <v>445.15917999999999</v>
      </c>
      <c r="P77" s="359">
        <f t="shared" si="35"/>
        <v>445.15917999999999</v>
      </c>
      <c r="Q77" s="359">
        <f t="shared" si="35"/>
        <v>445.15917999999999</v>
      </c>
      <c r="R77" s="359">
        <f t="shared" si="35"/>
        <v>445.15917999999999</v>
      </c>
      <c r="S77" s="359">
        <f t="shared" si="35"/>
        <v>445.15917999999999</v>
      </c>
      <c r="T77" s="359">
        <f t="shared" si="35"/>
        <v>445.15917999999999</v>
      </c>
      <c r="U77" s="359">
        <f t="shared" si="35"/>
        <v>445.15917999999999</v>
      </c>
      <c r="V77" s="359">
        <f t="shared" si="35"/>
        <v>445.15917999999999</v>
      </c>
      <c r="W77" s="359">
        <f t="shared" si="35"/>
        <v>462.47217999999998</v>
      </c>
      <c r="X77" s="359">
        <f t="shared" si="35"/>
        <v>462.47217999999998</v>
      </c>
      <c r="Y77" s="359">
        <f t="shared" si="35"/>
        <v>462.47217999999998</v>
      </c>
      <c r="Z77" s="359">
        <f t="shared" si="35"/>
        <v>462.47217999999998</v>
      </c>
      <c r="AA77" s="359">
        <f t="shared" si="35"/>
        <v>462.47217999999998</v>
      </c>
    </row>
    <row r="78" spans="1:27">
      <c r="A78" s="317" t="s">
        <v>218</v>
      </c>
      <c r="B78" s="310" t="s">
        <v>116</v>
      </c>
      <c r="C78" s="319" t="s">
        <v>133</v>
      </c>
      <c r="D78" s="440">
        <f>D27</f>
        <v>273.94</v>
      </c>
      <c r="E78" s="425">
        <f>'Прил 3(5)'!G41</f>
        <v>276.57600000000002</v>
      </c>
      <c r="F78" s="425">
        <f t="shared" ref="F78:AA78" si="36">F27</f>
        <v>278.86799999999999</v>
      </c>
      <c r="G78" s="425">
        <f t="shared" si="36"/>
        <v>279.20580000000001</v>
      </c>
      <c r="H78" s="425">
        <f t="shared" si="36"/>
        <v>281.41500000000002</v>
      </c>
      <c r="I78" s="359">
        <f t="shared" si="36"/>
        <v>285.25729000000001</v>
      </c>
      <c r="J78" s="359">
        <f t="shared" si="36"/>
        <v>285.45729</v>
      </c>
      <c r="K78" s="359">
        <f t="shared" si="36"/>
        <v>285.45729</v>
      </c>
      <c r="L78" s="359">
        <f t="shared" si="36"/>
        <v>285.45729</v>
      </c>
      <c r="M78" s="359">
        <f t="shared" si="36"/>
        <v>285.45729</v>
      </c>
      <c r="N78" s="359">
        <f t="shared" si="36"/>
        <v>285.45729</v>
      </c>
      <c r="O78" s="359">
        <f t="shared" si="36"/>
        <v>285.45729</v>
      </c>
      <c r="P78" s="359">
        <f t="shared" si="36"/>
        <v>285.45729</v>
      </c>
      <c r="Q78" s="359">
        <f t="shared" si="36"/>
        <v>285.45729</v>
      </c>
      <c r="R78" s="359">
        <f t="shared" si="36"/>
        <v>285.45729</v>
      </c>
      <c r="S78" s="359">
        <f t="shared" si="36"/>
        <v>285.45729</v>
      </c>
      <c r="T78" s="359">
        <f t="shared" si="36"/>
        <v>285.45729</v>
      </c>
      <c r="U78" s="359">
        <f t="shared" si="36"/>
        <v>285.45729</v>
      </c>
      <c r="V78" s="359">
        <f t="shared" si="36"/>
        <v>285.45729</v>
      </c>
      <c r="W78" s="359">
        <f t="shared" si="36"/>
        <v>285.45729</v>
      </c>
      <c r="X78" s="359">
        <f t="shared" si="36"/>
        <v>285.45729</v>
      </c>
      <c r="Y78" s="359">
        <f t="shared" si="36"/>
        <v>285.45729</v>
      </c>
      <c r="Z78" s="359">
        <f t="shared" si="36"/>
        <v>285.45729</v>
      </c>
      <c r="AA78" s="359">
        <f t="shared" si="36"/>
        <v>285.45729</v>
      </c>
    </row>
    <row r="79" spans="1:27" ht="30">
      <c r="A79" s="317" t="s">
        <v>219</v>
      </c>
      <c r="B79" s="318" t="s">
        <v>220</v>
      </c>
      <c r="C79" s="319" t="s">
        <v>19</v>
      </c>
      <c r="D79" s="441">
        <f t="shared" ref="D79:AA79" si="37">D80+D81</f>
        <v>403</v>
      </c>
      <c r="E79" s="442">
        <f t="shared" si="37"/>
        <v>3524</v>
      </c>
      <c r="F79" s="442">
        <f t="shared" si="37"/>
        <v>359.134097</v>
      </c>
      <c r="G79" s="442">
        <f t="shared" si="37"/>
        <v>359.84394700000001</v>
      </c>
      <c r="H79" s="442">
        <f t="shared" si="37"/>
        <v>760</v>
      </c>
      <c r="I79" s="467">
        <f t="shared" si="37"/>
        <v>741</v>
      </c>
      <c r="J79" s="467">
        <f t="shared" si="37"/>
        <v>707</v>
      </c>
      <c r="K79" s="467">
        <f t="shared" si="37"/>
        <v>677</v>
      </c>
      <c r="L79" s="550">
        <f t="shared" si="37"/>
        <v>641</v>
      </c>
      <c r="M79" s="550">
        <f t="shared" si="37"/>
        <v>610</v>
      </c>
      <c r="N79" s="550">
        <f t="shared" si="37"/>
        <v>580</v>
      </c>
      <c r="O79" s="550">
        <f t="shared" si="37"/>
        <v>553</v>
      </c>
      <c r="P79" s="550">
        <f t="shared" si="37"/>
        <v>526</v>
      </c>
      <c r="Q79" s="550">
        <f t="shared" si="37"/>
        <v>505</v>
      </c>
      <c r="R79" s="550">
        <f t="shared" si="37"/>
        <v>485</v>
      </c>
      <c r="S79" s="550">
        <f t="shared" si="37"/>
        <v>468</v>
      </c>
      <c r="T79" s="550">
        <f t="shared" si="37"/>
        <v>452</v>
      </c>
      <c r="U79" s="550">
        <f t="shared" si="37"/>
        <v>438</v>
      </c>
      <c r="V79" s="550">
        <f t="shared" si="37"/>
        <v>421</v>
      </c>
      <c r="W79" s="550">
        <f t="shared" si="37"/>
        <v>403</v>
      </c>
      <c r="X79" s="550">
        <f t="shared" si="37"/>
        <v>389</v>
      </c>
      <c r="Y79" s="550">
        <f t="shared" si="37"/>
        <v>374</v>
      </c>
      <c r="Z79" s="550">
        <f t="shared" si="37"/>
        <v>362</v>
      </c>
      <c r="AA79" s="550">
        <f t="shared" si="37"/>
        <v>359</v>
      </c>
    </row>
    <row r="80" spans="1:27">
      <c r="A80" s="317" t="s">
        <v>221</v>
      </c>
      <c r="B80" s="310" t="s">
        <v>115</v>
      </c>
      <c r="C80" s="319" t="s">
        <v>19</v>
      </c>
      <c r="D80" s="443">
        <f>'Прил 3(5)'!F23</f>
        <v>83</v>
      </c>
      <c r="E80" s="443">
        <f>'Прил 3(5)'!G23</f>
        <v>96</v>
      </c>
      <c r="F80" s="443">
        <f>'Прил 3(5)'!H23</f>
        <v>85.843947</v>
      </c>
      <c r="G80" s="444">
        <f>'Прил 3(5)'!I23</f>
        <v>85.843947</v>
      </c>
      <c r="H80" s="444">
        <f>'Прил 3(5)'!J23</f>
        <v>153</v>
      </c>
      <c r="I80" s="443">
        <f>'Прил 3(5)'!K23</f>
        <v>151</v>
      </c>
      <c r="J80" s="443">
        <f>'Прил 3(5)'!L23</f>
        <v>145</v>
      </c>
      <c r="K80" s="443">
        <f>'Прил 3(5)'!M23</f>
        <v>142</v>
      </c>
      <c r="L80" s="551">
        <f>'Прил 3(5)'!N23</f>
        <v>131</v>
      </c>
      <c r="M80" s="551">
        <f>'Прил 3(5)'!O23</f>
        <v>125</v>
      </c>
      <c r="N80" s="551">
        <f>'Прил 3(5)'!P23</f>
        <v>118</v>
      </c>
      <c r="O80" s="551">
        <f>'Прил 3(5)'!Q23</f>
        <v>113</v>
      </c>
      <c r="P80" s="551">
        <f>'Прил 3(5)'!R23</f>
        <v>107</v>
      </c>
      <c r="Q80" s="551">
        <f>'Прил 3(5)'!S23</f>
        <v>102</v>
      </c>
      <c r="R80" s="551">
        <f>'Прил 3(5)'!T23</f>
        <v>97</v>
      </c>
      <c r="S80" s="551">
        <f>'Прил 3(5)'!U23</f>
        <v>95</v>
      </c>
      <c r="T80" s="551">
        <f>'Прил 3(5)'!V23</f>
        <v>94</v>
      </c>
      <c r="U80" s="551">
        <f>'Прил 3(5)'!W23</f>
        <v>93</v>
      </c>
      <c r="V80" s="551">
        <f>'Прил 3(5)'!X23</f>
        <v>90</v>
      </c>
      <c r="W80" s="551">
        <f>'Прил 3(5)'!Y23</f>
        <v>84</v>
      </c>
      <c r="X80" s="551">
        <f>'Прил 3(5)'!Z23</f>
        <v>83</v>
      </c>
      <c r="Y80" s="551">
        <f>'Прил 3(5)'!AA23</f>
        <v>82</v>
      </c>
      <c r="Z80" s="551">
        <f>'Прил 3(5)'!AB23</f>
        <v>81</v>
      </c>
      <c r="AA80" s="551">
        <f>'Прил 3(5)'!AC23</f>
        <v>81</v>
      </c>
    </row>
    <row r="81" spans="1:27">
      <c r="A81" s="317" t="s">
        <v>222</v>
      </c>
      <c r="B81" s="310" t="s">
        <v>116</v>
      </c>
      <c r="C81" s="319" t="s">
        <v>19</v>
      </c>
      <c r="D81" s="443">
        <f>'Прил 3(5)'!F40</f>
        <v>320</v>
      </c>
      <c r="E81" s="443">
        <f>'Прил 3(5)'!G40</f>
        <v>3428</v>
      </c>
      <c r="F81" s="443">
        <f>'Прил 3(5)'!H40</f>
        <v>273.29014999999998</v>
      </c>
      <c r="G81" s="444">
        <f>'Прил 3(5)'!I40</f>
        <v>274</v>
      </c>
      <c r="H81" s="444">
        <f>'Прил 3(5)'!J40</f>
        <v>607</v>
      </c>
      <c r="I81" s="443">
        <f>'Прил 3(5)'!K40</f>
        <v>590</v>
      </c>
      <c r="J81" s="443">
        <f>'Прил 3(5)'!L40</f>
        <v>562</v>
      </c>
      <c r="K81" s="443">
        <f>'Прил 3(5)'!M40</f>
        <v>535</v>
      </c>
      <c r="L81" s="443">
        <f>'Прил 3(5)'!N40</f>
        <v>510</v>
      </c>
      <c r="M81" s="443">
        <f>'Прил 3(5)'!O40</f>
        <v>485</v>
      </c>
      <c r="N81" s="443">
        <f>'Прил 3(5)'!P40</f>
        <v>462</v>
      </c>
      <c r="O81" s="443">
        <f>'Прил 3(5)'!Q40</f>
        <v>440</v>
      </c>
      <c r="P81" s="443">
        <f>'Прил 3(5)'!R40</f>
        <v>419</v>
      </c>
      <c r="Q81" s="443">
        <f>'Прил 3(5)'!S40</f>
        <v>403</v>
      </c>
      <c r="R81" s="443">
        <f>'Прил 3(5)'!T40</f>
        <v>388</v>
      </c>
      <c r="S81" s="443">
        <f>'Прил 3(5)'!U40</f>
        <v>373</v>
      </c>
      <c r="T81" s="443">
        <f>'Прил 3(5)'!V40</f>
        <v>358</v>
      </c>
      <c r="U81" s="443">
        <f>'Прил 3(5)'!W40</f>
        <v>345</v>
      </c>
      <c r="V81" s="443">
        <f>'Прил 3(5)'!X40</f>
        <v>331</v>
      </c>
      <c r="W81" s="443">
        <f>'Прил 3(5)'!Y40</f>
        <v>319</v>
      </c>
      <c r="X81" s="443">
        <f>'Прил 3(5)'!Z40</f>
        <v>306</v>
      </c>
      <c r="Y81" s="443">
        <f>'Прил 3(5)'!AA40</f>
        <v>292</v>
      </c>
      <c r="Z81" s="443">
        <f>'Прил 3(5)'!AB40</f>
        <v>281</v>
      </c>
      <c r="AA81" s="443">
        <f>'Прил 3(5)'!AC40</f>
        <v>278</v>
      </c>
    </row>
    <row r="82" spans="1:27" s="295" customFormat="1" ht="14.25">
      <c r="A82" s="303" t="s">
        <v>223</v>
      </c>
      <c r="B82" s="304" t="s">
        <v>224</v>
      </c>
      <c r="C82" s="305" t="s">
        <v>16</v>
      </c>
      <c r="D82" s="445">
        <f t="shared" ref="D82:E84" si="38">D85/D88*100</f>
        <v>1.6916600476568706</v>
      </c>
      <c r="E82" s="445">
        <f t="shared" si="38"/>
        <v>0.41663121124223357</v>
      </c>
      <c r="F82" s="446">
        <f t="shared" ref="F82:AA82" si="39">F85/F88</f>
        <v>3.6159597189669669E-3</v>
      </c>
      <c r="G82" s="447">
        <f t="shared" si="39"/>
        <v>5.7320044732794503E-4</v>
      </c>
      <c r="H82" s="447">
        <f t="shared" si="39"/>
        <v>3.2128882718103482E-3</v>
      </c>
      <c r="I82" s="398">
        <f t="shared" si="39"/>
        <v>5.4489364251732366E-3</v>
      </c>
      <c r="J82" s="398">
        <f t="shared" si="39"/>
        <v>6.426417048486995E-3</v>
      </c>
      <c r="K82" s="398">
        <f t="shared" si="39"/>
        <v>3.8911754726039965E-3</v>
      </c>
      <c r="L82" s="398">
        <f t="shared" si="39"/>
        <v>4.5447496109893995E-3</v>
      </c>
      <c r="M82" s="398">
        <f t="shared" si="39"/>
        <v>5.796509484648462E-3</v>
      </c>
      <c r="N82" s="398">
        <f t="shared" si="39"/>
        <v>6.1013987082117237E-3</v>
      </c>
      <c r="O82" s="398">
        <f t="shared" si="39"/>
        <v>6.0367058625615654E-3</v>
      </c>
      <c r="P82" s="398">
        <f t="shared" si="39"/>
        <v>4.6627707348292557E-3</v>
      </c>
      <c r="Q82" s="398">
        <f t="shared" si="39"/>
        <v>5.610511063772354E-3</v>
      </c>
      <c r="R82" s="398">
        <f t="shared" si="39"/>
        <v>5.42257902119861E-3</v>
      </c>
      <c r="S82" s="398">
        <f t="shared" si="39"/>
        <v>5.8461986638352953E-3</v>
      </c>
      <c r="T82" s="398">
        <f t="shared" si="39"/>
        <v>7.1687391350755388E-3</v>
      </c>
      <c r="U82" s="398">
        <f t="shared" si="39"/>
        <v>5.5660060772799082E-3</v>
      </c>
      <c r="V82" s="398">
        <f t="shared" si="39"/>
        <v>4.3967798966685866E-3</v>
      </c>
      <c r="W82" s="398">
        <f t="shared" si="39"/>
        <v>4.5011655939424591E-3</v>
      </c>
      <c r="X82" s="398">
        <f t="shared" si="39"/>
        <v>4.5011655939424591E-3</v>
      </c>
      <c r="Y82" s="398">
        <f t="shared" si="39"/>
        <v>4.5011655939424591E-3</v>
      </c>
      <c r="Z82" s="398">
        <f t="shared" si="39"/>
        <v>4.5011655939424591E-3</v>
      </c>
      <c r="AA82" s="398">
        <f t="shared" si="39"/>
        <v>4.5011655939424591E-3</v>
      </c>
    </row>
    <row r="83" spans="1:27">
      <c r="A83" s="317" t="s">
        <v>225</v>
      </c>
      <c r="B83" s="310" t="s">
        <v>115</v>
      </c>
      <c r="C83" s="319" t="s">
        <v>16</v>
      </c>
      <c r="D83" s="448">
        <f t="shared" si="38"/>
        <v>2.3829710421274757</v>
      </c>
      <c r="E83" s="448">
        <f t="shared" si="38"/>
        <v>0.58182958965993214</v>
      </c>
      <c r="F83" s="430">
        <f t="shared" ref="F83:H84" si="40">F86/F89</f>
        <v>5.4414750989956228E-3</v>
      </c>
      <c r="G83" s="431">
        <f t="shared" si="40"/>
        <v>8.6723737525871362E-4</v>
      </c>
      <c r="H83" s="431">
        <f t="shared" si="40"/>
        <v>3.1747787876674279E-3</v>
      </c>
      <c r="I83" s="172">
        <v>7.36567337761352E-3</v>
      </c>
      <c r="J83" s="172">
        <v>8.9680303930943592E-3</v>
      </c>
      <c r="K83" s="172">
        <v>4.80707104644251E-3</v>
      </c>
      <c r="L83" s="172">
        <v>5.4790272142248003E-3</v>
      </c>
      <c r="M83" s="172">
        <v>5.7891608301243102E-3</v>
      </c>
      <c r="N83" s="172">
        <v>5.5824050861913001E-3</v>
      </c>
      <c r="O83" s="172">
        <v>7.0555397617139996E-3</v>
      </c>
      <c r="P83" s="172">
        <v>6.0734499780322002E-3</v>
      </c>
      <c r="Q83" s="172">
        <v>6.8746284857726199E-3</v>
      </c>
      <c r="R83" s="172">
        <v>6.0476055100405803E-3</v>
      </c>
      <c r="S83" s="172">
        <v>7.5207401855632797E-3</v>
      </c>
      <c r="T83" s="172">
        <v>8.3477631612953202E-3</v>
      </c>
      <c r="U83" s="172">
        <v>4.7036931744759997E-3</v>
      </c>
      <c r="V83" s="172">
        <v>4.0575814746853399E-3</v>
      </c>
      <c r="W83" s="172">
        <v>4.0575814746853399E-3</v>
      </c>
      <c r="X83" s="172">
        <v>4.0575814746853399E-3</v>
      </c>
      <c r="Y83" s="172">
        <v>4.0575814746853399E-3</v>
      </c>
      <c r="Z83" s="172">
        <v>4.0575814746853399E-3</v>
      </c>
      <c r="AA83" s="172">
        <v>4.0575814746853399E-3</v>
      </c>
    </row>
    <row r="84" spans="1:27">
      <c r="A84" s="317" t="s">
        <v>226</v>
      </c>
      <c r="B84" s="310" t="s">
        <v>116</v>
      </c>
      <c r="C84" s="319" t="s">
        <v>16</v>
      </c>
      <c r="D84" s="448">
        <f t="shared" si="38"/>
        <v>0.69905818792436292</v>
      </c>
      <c r="E84" s="448">
        <f t="shared" si="38"/>
        <v>0.17863769813722086</v>
      </c>
      <c r="F84" s="430">
        <f t="shared" si="40"/>
        <v>9.4001463057790779E-4</v>
      </c>
      <c r="G84" s="431">
        <f t="shared" si="40"/>
        <v>1.3968191205197025E-4</v>
      </c>
      <c r="H84" s="431">
        <f t="shared" si="40"/>
        <v>3.2691931844429046E-3</v>
      </c>
      <c r="I84" s="172">
        <v>2.4628731068960402E-3</v>
      </c>
      <c r="J84" s="172">
        <v>2.4628731068960402E-3</v>
      </c>
      <c r="K84" s="172">
        <v>2.4628731068960402E-3</v>
      </c>
      <c r="L84" s="172">
        <v>3.0877812086457898E-3</v>
      </c>
      <c r="M84" s="172">
        <v>5.8079694162623098E-3</v>
      </c>
      <c r="N84" s="172">
        <v>6.9107484193500898E-3</v>
      </c>
      <c r="O84" s="172">
        <v>4.4478753124540501E-3</v>
      </c>
      <c r="P84" s="172">
        <v>2.4628731068960402E-3</v>
      </c>
      <c r="Q84" s="172">
        <v>3.6391707101896798E-3</v>
      </c>
      <c r="R84" s="172">
        <v>4.4478753124540501E-3</v>
      </c>
      <c r="S84" s="172">
        <v>3.2348184090574901E-3</v>
      </c>
      <c r="T84" s="172">
        <v>5.3300985149242804E-3</v>
      </c>
      <c r="U84" s="172">
        <v>6.9107484193500898E-3</v>
      </c>
      <c r="V84" s="172">
        <v>4.9257462137920899E-3</v>
      </c>
      <c r="W84" s="172">
        <v>5.2198206146155E-3</v>
      </c>
      <c r="X84" s="172">
        <v>5.2198206146155E-3</v>
      </c>
      <c r="Y84" s="172">
        <v>5.2198206146155E-3</v>
      </c>
      <c r="Z84" s="172">
        <v>5.2198206146155E-3</v>
      </c>
      <c r="AA84" s="172">
        <v>5.2198206146155E-3</v>
      </c>
    </row>
    <row r="85" spans="1:27" s="297" customFormat="1">
      <c r="A85" s="317" t="s">
        <v>227</v>
      </c>
      <c r="B85" s="318" t="s">
        <v>228</v>
      </c>
      <c r="C85" s="377" t="s">
        <v>133</v>
      </c>
      <c r="D85" s="449">
        <f t="shared" ref="D85:AA85" si="41">D86+D87</f>
        <v>11.287939999999999</v>
      </c>
      <c r="E85" s="449">
        <f t="shared" si="41"/>
        <v>2.8123689999999999</v>
      </c>
      <c r="F85" s="450">
        <f t="shared" si="41"/>
        <v>2.48651</v>
      </c>
      <c r="G85" s="407">
        <f t="shared" si="41"/>
        <v>0.39599999999999996</v>
      </c>
      <c r="H85" s="407">
        <f t="shared" si="41"/>
        <v>2.2400000000000002</v>
      </c>
      <c r="I85" s="124">
        <f t="shared" si="41"/>
        <v>3.9758517172463232</v>
      </c>
      <c r="J85" s="124">
        <f t="shared" si="41"/>
        <v>4.6952461387133866</v>
      </c>
      <c r="K85" s="124">
        <f t="shared" si="41"/>
        <v>2.8429568879445135</v>
      </c>
      <c r="L85" s="124">
        <f t="shared" si="41"/>
        <v>3.320468917814948</v>
      </c>
      <c r="M85" s="124">
        <f t="shared" si="41"/>
        <v>4.235025297995378</v>
      </c>
      <c r="N85" s="124">
        <f t="shared" si="41"/>
        <v>4.4577823862562092</v>
      </c>
      <c r="O85" s="124">
        <f t="shared" si="41"/>
        <v>4.4105167277330359</v>
      </c>
      <c r="P85" s="124">
        <f t="shared" si="41"/>
        <v>3.4066970947002564</v>
      </c>
      <c r="Q85" s="124">
        <f t="shared" si="41"/>
        <v>4.0991317883093021</v>
      </c>
      <c r="R85" s="124">
        <f t="shared" si="41"/>
        <v>3.9618255427641831</v>
      </c>
      <c r="S85" s="124">
        <f t="shared" si="41"/>
        <v>4.27132903069006</v>
      </c>
      <c r="T85" s="124">
        <f t="shared" si="41"/>
        <v>5.2375988812197427</v>
      </c>
      <c r="U85" s="124">
        <f t="shared" si="41"/>
        <v>4.0666157121807931</v>
      </c>
      <c r="V85" s="124">
        <f t="shared" si="41"/>
        <v>3.2123598074709672</v>
      </c>
      <c r="W85" s="124">
        <f t="shared" si="41"/>
        <v>3.3665543970596188</v>
      </c>
      <c r="X85" s="124">
        <f t="shared" si="41"/>
        <v>3.3665543970596188</v>
      </c>
      <c r="Y85" s="124">
        <f t="shared" si="41"/>
        <v>3.3665543970596188</v>
      </c>
      <c r="Z85" s="124">
        <f t="shared" si="41"/>
        <v>3.3665543970596188</v>
      </c>
      <c r="AA85" s="124">
        <f t="shared" si="41"/>
        <v>3.3665543970596188</v>
      </c>
    </row>
    <row r="86" spans="1:27">
      <c r="A86" s="317" t="s">
        <v>229</v>
      </c>
      <c r="B86" s="310" t="s">
        <v>115</v>
      </c>
      <c r="C86" s="319" t="s">
        <v>133</v>
      </c>
      <c r="D86" s="451">
        <f>2.082+0.89094+6.4</f>
        <v>9.3729399999999998</v>
      </c>
      <c r="E86" s="451">
        <v>2.3182999999999998</v>
      </c>
      <c r="F86" s="418">
        <v>2.22437</v>
      </c>
      <c r="G86" s="417">
        <v>0.35699999999999998</v>
      </c>
      <c r="H86" s="417">
        <v>1.32</v>
      </c>
      <c r="I86" s="350">
        <f t="shared" ref="I86:AA86" si="42">I83*I77</f>
        <v>3.2732992091592785</v>
      </c>
      <c r="J86" s="350">
        <f t="shared" si="42"/>
        <v>3.9922010560049626</v>
      </c>
      <c r="K86" s="350">
        <f t="shared" si="42"/>
        <v>2.1399118052360895</v>
      </c>
      <c r="L86" s="350">
        <f t="shared" si="42"/>
        <v>2.4390392618819963</v>
      </c>
      <c r="M86" s="350">
        <f t="shared" si="42"/>
        <v>2.5770980880262573</v>
      </c>
      <c r="N86" s="350">
        <f t="shared" si="42"/>
        <v>2.4850588705967485</v>
      </c>
      <c r="O86" s="350">
        <f t="shared" si="42"/>
        <v>3.1408382947819993</v>
      </c>
      <c r="P86" s="350">
        <f t="shared" si="42"/>
        <v>2.7036520119918324</v>
      </c>
      <c r="Q86" s="350">
        <f t="shared" si="42"/>
        <v>3.0603039795311813</v>
      </c>
      <c r="R86" s="350">
        <f t="shared" si="42"/>
        <v>2.6921471098131464</v>
      </c>
      <c r="S86" s="350">
        <f t="shared" si="42"/>
        <v>3.3479265339983972</v>
      </c>
      <c r="T86" s="350">
        <f t="shared" si="42"/>
        <v>3.7160834037164325</v>
      </c>
      <c r="U86" s="350">
        <f t="shared" si="42"/>
        <v>2.0938921965213328</v>
      </c>
      <c r="V86" s="350">
        <f t="shared" si="42"/>
        <v>1.8062696420541167</v>
      </c>
      <c r="W86" s="350">
        <f t="shared" si="42"/>
        <v>1.8765185501253439</v>
      </c>
      <c r="X86" s="350">
        <f t="shared" si="42"/>
        <v>1.8765185501253439</v>
      </c>
      <c r="Y86" s="350">
        <f t="shared" si="42"/>
        <v>1.8765185501253439</v>
      </c>
      <c r="Z86" s="350">
        <f t="shared" si="42"/>
        <v>1.8765185501253439</v>
      </c>
      <c r="AA86" s="350">
        <f t="shared" si="42"/>
        <v>1.8765185501253439</v>
      </c>
    </row>
    <row r="87" spans="1:27">
      <c r="A87" s="317" t="s">
        <v>230</v>
      </c>
      <c r="B87" s="310" t="s">
        <v>116</v>
      </c>
      <c r="C87" s="319" t="s">
        <v>133</v>
      </c>
      <c r="D87" s="452">
        <f>0.015+1.9</f>
        <v>1.9149999999999998</v>
      </c>
      <c r="E87" s="451">
        <v>0.49406899999999998</v>
      </c>
      <c r="F87" s="418">
        <v>0.26213999999999998</v>
      </c>
      <c r="G87" s="418">
        <v>3.9E-2</v>
      </c>
      <c r="H87" s="418">
        <v>0.92</v>
      </c>
      <c r="I87" s="350">
        <f t="shared" ref="I87:AA87" si="43">I84*I78</f>
        <v>0.70255250808704472</v>
      </c>
      <c r="J87" s="350">
        <f t="shared" si="43"/>
        <v>0.70304508270842392</v>
      </c>
      <c r="K87" s="350">
        <f t="shared" si="43"/>
        <v>0.70304508270842392</v>
      </c>
      <c r="L87" s="350">
        <f t="shared" si="43"/>
        <v>0.88142965593295175</v>
      </c>
      <c r="M87" s="350">
        <f t="shared" si="43"/>
        <v>1.6579272099691209</v>
      </c>
      <c r="N87" s="350">
        <f t="shared" si="43"/>
        <v>1.9727235156594602</v>
      </c>
      <c r="O87" s="350">
        <f t="shared" si="43"/>
        <v>1.2696784329510364</v>
      </c>
      <c r="P87" s="350">
        <f t="shared" si="43"/>
        <v>0.70304508270842392</v>
      </c>
      <c r="Q87" s="350">
        <f t="shared" si="43"/>
        <v>1.0388278087781213</v>
      </c>
      <c r="R87" s="350">
        <f t="shared" si="43"/>
        <v>1.2696784329510364</v>
      </c>
      <c r="S87" s="350">
        <f t="shared" si="43"/>
        <v>0.92340249669166263</v>
      </c>
      <c r="T87" s="350">
        <f t="shared" si="43"/>
        <v>1.5215154775033097</v>
      </c>
      <c r="U87" s="350">
        <f t="shared" si="43"/>
        <v>1.9727235156594602</v>
      </c>
      <c r="V87" s="350">
        <f t="shared" si="43"/>
        <v>1.4060901654168505</v>
      </c>
      <c r="W87" s="350">
        <f t="shared" si="43"/>
        <v>1.4900358469342749</v>
      </c>
      <c r="X87" s="350">
        <f t="shared" si="43"/>
        <v>1.4900358469342749</v>
      </c>
      <c r="Y87" s="350">
        <f t="shared" si="43"/>
        <v>1.4900358469342749</v>
      </c>
      <c r="Z87" s="350">
        <f t="shared" si="43"/>
        <v>1.4900358469342749</v>
      </c>
      <c r="AA87" s="350">
        <f t="shared" si="43"/>
        <v>1.4900358469342749</v>
      </c>
    </row>
    <row r="88" spans="1:27" ht="30">
      <c r="A88" s="317" t="s">
        <v>231</v>
      </c>
      <c r="B88" s="318" t="s">
        <v>132</v>
      </c>
      <c r="C88" s="319" t="s">
        <v>133</v>
      </c>
      <c r="D88" s="439">
        <f t="shared" ref="D88:AA88" si="44">D89+D90</f>
        <v>667.27</v>
      </c>
      <c r="E88" s="439">
        <f t="shared" si="44"/>
        <v>675.02600000000007</v>
      </c>
      <c r="F88" s="407">
        <f t="shared" si="44"/>
        <v>687.64869999999996</v>
      </c>
      <c r="G88" s="407">
        <f t="shared" si="44"/>
        <v>690.8578</v>
      </c>
      <c r="H88" s="407">
        <f t="shared" si="44"/>
        <v>697.19200000000001</v>
      </c>
      <c r="I88" s="357">
        <f t="shared" si="44"/>
        <v>729.65647000000001</v>
      </c>
      <c r="J88" s="357">
        <f t="shared" si="44"/>
        <v>730.61646999999994</v>
      </c>
      <c r="K88" s="357">
        <f t="shared" si="44"/>
        <v>730.61646999999994</v>
      </c>
      <c r="L88" s="357">
        <f t="shared" si="44"/>
        <v>730.61646999999994</v>
      </c>
      <c r="M88" s="357">
        <f t="shared" si="44"/>
        <v>730.61646999999994</v>
      </c>
      <c r="N88" s="357">
        <f t="shared" si="44"/>
        <v>730.61646999999994</v>
      </c>
      <c r="O88" s="357">
        <f t="shared" si="44"/>
        <v>730.61646999999994</v>
      </c>
      <c r="P88" s="357">
        <f t="shared" si="44"/>
        <v>730.61646999999994</v>
      </c>
      <c r="Q88" s="357">
        <f t="shared" si="44"/>
        <v>730.61646999999994</v>
      </c>
      <c r="R88" s="357">
        <f t="shared" si="44"/>
        <v>730.61646999999994</v>
      </c>
      <c r="S88" s="357">
        <f t="shared" si="44"/>
        <v>730.61646999999994</v>
      </c>
      <c r="T88" s="357">
        <f t="shared" si="44"/>
        <v>730.61646999999994</v>
      </c>
      <c r="U88" s="357">
        <f t="shared" si="44"/>
        <v>730.61646999999994</v>
      </c>
      <c r="V88" s="357">
        <f t="shared" si="44"/>
        <v>730.61646999999994</v>
      </c>
      <c r="W88" s="357">
        <f t="shared" si="44"/>
        <v>747.92947000000004</v>
      </c>
      <c r="X88" s="357">
        <f t="shared" si="44"/>
        <v>747.92947000000004</v>
      </c>
      <c r="Y88" s="357">
        <f t="shared" si="44"/>
        <v>747.92947000000004</v>
      </c>
      <c r="Z88" s="357">
        <f t="shared" si="44"/>
        <v>747.92947000000004</v>
      </c>
      <c r="AA88" s="357">
        <f t="shared" si="44"/>
        <v>747.92947000000004</v>
      </c>
    </row>
    <row r="89" spans="1:27">
      <c r="A89" s="317" t="s">
        <v>232</v>
      </c>
      <c r="B89" s="310" t="s">
        <v>115</v>
      </c>
      <c r="C89" s="319" t="s">
        <v>133</v>
      </c>
      <c r="D89" s="440">
        <f>D26</f>
        <v>393.33</v>
      </c>
      <c r="E89" s="440">
        <f>E77</f>
        <v>398.45</v>
      </c>
      <c r="F89" s="425">
        <f t="shared" ref="F89:AA89" si="45">F26</f>
        <v>408.78070000000002</v>
      </c>
      <c r="G89" s="425">
        <f t="shared" si="45"/>
        <v>411.65199999999999</v>
      </c>
      <c r="H89" s="425">
        <f t="shared" si="45"/>
        <v>415.77699999999999</v>
      </c>
      <c r="I89" s="359">
        <f t="shared" si="45"/>
        <v>444.39918</v>
      </c>
      <c r="J89" s="359">
        <f t="shared" si="45"/>
        <v>445.15917999999999</v>
      </c>
      <c r="K89" s="359">
        <f t="shared" si="45"/>
        <v>445.15917999999999</v>
      </c>
      <c r="L89" s="359">
        <f t="shared" si="45"/>
        <v>445.15917999999999</v>
      </c>
      <c r="M89" s="359">
        <f t="shared" si="45"/>
        <v>445.15917999999999</v>
      </c>
      <c r="N89" s="359">
        <f t="shared" si="45"/>
        <v>445.15917999999999</v>
      </c>
      <c r="O89" s="359">
        <f t="shared" si="45"/>
        <v>445.15917999999999</v>
      </c>
      <c r="P89" s="359">
        <f t="shared" si="45"/>
        <v>445.15917999999999</v>
      </c>
      <c r="Q89" s="359">
        <f t="shared" si="45"/>
        <v>445.15917999999999</v>
      </c>
      <c r="R89" s="359">
        <f t="shared" si="45"/>
        <v>445.15917999999999</v>
      </c>
      <c r="S89" s="359">
        <f t="shared" si="45"/>
        <v>445.15917999999999</v>
      </c>
      <c r="T89" s="359">
        <f t="shared" si="45"/>
        <v>445.15917999999999</v>
      </c>
      <c r="U89" s="359">
        <f t="shared" si="45"/>
        <v>445.15917999999999</v>
      </c>
      <c r="V89" s="359">
        <f t="shared" si="45"/>
        <v>445.15917999999999</v>
      </c>
      <c r="W89" s="359">
        <f t="shared" si="45"/>
        <v>462.47217999999998</v>
      </c>
      <c r="X89" s="359">
        <f t="shared" si="45"/>
        <v>462.47217999999998</v>
      </c>
      <c r="Y89" s="359">
        <f t="shared" si="45"/>
        <v>462.47217999999998</v>
      </c>
      <c r="Z89" s="359">
        <f t="shared" si="45"/>
        <v>462.47217999999998</v>
      </c>
      <c r="AA89" s="359">
        <f t="shared" si="45"/>
        <v>462.47217999999998</v>
      </c>
    </row>
    <row r="90" spans="1:27">
      <c r="A90" s="317" t="s">
        <v>233</v>
      </c>
      <c r="B90" s="310" t="s">
        <v>116</v>
      </c>
      <c r="C90" s="319" t="s">
        <v>133</v>
      </c>
      <c r="D90" s="440">
        <f>D27</f>
        <v>273.94</v>
      </c>
      <c r="E90" s="440">
        <f>E78</f>
        <v>276.57600000000002</v>
      </c>
      <c r="F90" s="425">
        <f t="shared" ref="F90:AA90" si="46">F27</f>
        <v>278.86799999999999</v>
      </c>
      <c r="G90" s="425">
        <f t="shared" si="46"/>
        <v>279.20580000000001</v>
      </c>
      <c r="H90" s="425">
        <f t="shared" si="46"/>
        <v>281.41500000000002</v>
      </c>
      <c r="I90" s="359">
        <f t="shared" si="46"/>
        <v>285.25729000000001</v>
      </c>
      <c r="J90" s="359">
        <f t="shared" si="46"/>
        <v>285.45729</v>
      </c>
      <c r="K90" s="359">
        <f t="shared" si="46"/>
        <v>285.45729</v>
      </c>
      <c r="L90" s="359">
        <f t="shared" si="46"/>
        <v>285.45729</v>
      </c>
      <c r="M90" s="359">
        <f t="shared" si="46"/>
        <v>285.45729</v>
      </c>
      <c r="N90" s="359">
        <f t="shared" si="46"/>
        <v>285.45729</v>
      </c>
      <c r="O90" s="359">
        <f t="shared" si="46"/>
        <v>285.45729</v>
      </c>
      <c r="P90" s="359">
        <f t="shared" si="46"/>
        <v>285.45729</v>
      </c>
      <c r="Q90" s="359">
        <f t="shared" si="46"/>
        <v>285.45729</v>
      </c>
      <c r="R90" s="359">
        <f t="shared" si="46"/>
        <v>285.45729</v>
      </c>
      <c r="S90" s="359">
        <f t="shared" si="46"/>
        <v>285.45729</v>
      </c>
      <c r="T90" s="359">
        <f t="shared" si="46"/>
        <v>285.45729</v>
      </c>
      <c r="U90" s="359">
        <f t="shared" si="46"/>
        <v>285.45729</v>
      </c>
      <c r="V90" s="359">
        <f t="shared" si="46"/>
        <v>285.45729</v>
      </c>
      <c r="W90" s="359">
        <f t="shared" si="46"/>
        <v>285.45729</v>
      </c>
      <c r="X90" s="359">
        <f t="shared" si="46"/>
        <v>285.45729</v>
      </c>
      <c r="Y90" s="359">
        <f t="shared" si="46"/>
        <v>285.45729</v>
      </c>
      <c r="Z90" s="359">
        <f t="shared" si="46"/>
        <v>285.45729</v>
      </c>
      <c r="AA90" s="359">
        <f t="shared" si="46"/>
        <v>285.45729</v>
      </c>
    </row>
    <row r="91" spans="1:27" s="295" customFormat="1" ht="28.5">
      <c r="A91" s="303" t="s">
        <v>234</v>
      </c>
      <c r="B91" s="304" t="s">
        <v>235</v>
      </c>
      <c r="C91" s="305" t="s">
        <v>236</v>
      </c>
      <c r="D91" s="437">
        <f t="shared" ref="D91:I91" si="47">D94/D92</f>
        <v>1.5485001947798987E-2</v>
      </c>
      <c r="E91" s="437">
        <f t="shared" si="47"/>
        <v>6.4524033259297231E-2</v>
      </c>
      <c r="F91" s="437">
        <f t="shared" si="47"/>
        <v>3.7615736412926232E-2</v>
      </c>
      <c r="G91" s="437">
        <f t="shared" si="47"/>
        <v>3.0830443354006878E-2</v>
      </c>
      <c r="H91" s="437">
        <f t="shared" si="47"/>
        <v>1.9179501241564218E-2</v>
      </c>
      <c r="I91" s="366">
        <f t="shared" si="47"/>
        <v>1.1676797221333577E-2</v>
      </c>
      <c r="J91" s="366">
        <f t="shared" ref="J91:AA91" si="48">J94/J92</f>
        <v>1.121216275916701E-2</v>
      </c>
      <c r="K91" s="366">
        <f t="shared" si="48"/>
        <v>1.097603704888564E-2</v>
      </c>
      <c r="L91" s="366">
        <f t="shared" si="48"/>
        <v>1.0435233002757338E-2</v>
      </c>
      <c r="M91" s="366">
        <f t="shared" si="48"/>
        <v>9.9705985405907707E-3</v>
      </c>
      <c r="N91" s="366">
        <f t="shared" si="48"/>
        <v>9.429794494462471E-3</v>
      </c>
      <c r="O91" s="366">
        <f t="shared" si="48"/>
        <v>9.0489465746538093E-3</v>
      </c>
      <c r="P91" s="366">
        <f t="shared" si="48"/>
        <v>8.5843121124872419E-3</v>
      </c>
      <c r="Q91" s="366">
        <f t="shared" si="48"/>
        <v>8.1958472342824069E-3</v>
      </c>
      <c r="R91" s="366">
        <f t="shared" si="48"/>
        <v>7.8073823560775709E-3</v>
      </c>
      <c r="S91" s="366">
        <f t="shared" si="48"/>
        <v>7.6550431881541063E-3</v>
      </c>
      <c r="T91" s="366">
        <f t="shared" si="48"/>
        <v>7.5788736041923739E-3</v>
      </c>
      <c r="U91" s="366">
        <f t="shared" si="48"/>
        <v>7.5027040202306416E-3</v>
      </c>
      <c r="V91" s="366">
        <f t="shared" si="48"/>
        <v>7.2665783099492712E-3</v>
      </c>
      <c r="W91" s="366">
        <f t="shared" si="48"/>
        <v>6.8019438477827038E-3</v>
      </c>
      <c r="X91" s="366">
        <f t="shared" si="48"/>
        <v>6.7257742638209706E-3</v>
      </c>
      <c r="Y91" s="366">
        <f t="shared" si="48"/>
        <v>6.6496046798592383E-3</v>
      </c>
      <c r="Z91" s="366">
        <f t="shared" si="48"/>
        <v>6.573435095897506E-3</v>
      </c>
      <c r="AA91" s="366">
        <f t="shared" si="48"/>
        <v>6.573435095897506E-3</v>
      </c>
    </row>
    <row r="92" spans="1:27" ht="30">
      <c r="A92" s="453" t="s">
        <v>237</v>
      </c>
      <c r="B92" s="318" t="s">
        <v>238</v>
      </c>
      <c r="C92" s="454" t="s">
        <v>129</v>
      </c>
      <c r="D92" s="346">
        <v>143752</v>
      </c>
      <c r="E92" s="346">
        <v>140472</v>
      </c>
      <c r="F92" s="346">
        <v>139066</v>
      </c>
      <c r="G92" s="455">
        <v>138986</v>
      </c>
      <c r="H92" s="456">
        <v>131286</v>
      </c>
      <c r="I92" s="346">
        <v>131286</v>
      </c>
      <c r="J92" s="346">
        <v>131286</v>
      </c>
      <c r="K92" s="346">
        <v>131286</v>
      </c>
      <c r="L92" s="346">
        <v>131286</v>
      </c>
      <c r="M92" s="346">
        <v>131286</v>
      </c>
      <c r="N92" s="346">
        <v>131286</v>
      </c>
      <c r="O92" s="346">
        <v>131286</v>
      </c>
      <c r="P92" s="346">
        <v>131286</v>
      </c>
      <c r="Q92" s="346">
        <v>131286</v>
      </c>
      <c r="R92" s="346">
        <v>131286</v>
      </c>
      <c r="S92" s="346">
        <v>131286</v>
      </c>
      <c r="T92" s="346">
        <v>131286</v>
      </c>
      <c r="U92" s="346">
        <v>131286</v>
      </c>
      <c r="V92" s="346">
        <v>131286</v>
      </c>
      <c r="W92" s="346">
        <v>131286</v>
      </c>
      <c r="X92" s="346">
        <v>131286</v>
      </c>
      <c r="Y92" s="346">
        <v>131286</v>
      </c>
      <c r="Z92" s="346">
        <v>131286</v>
      </c>
      <c r="AA92" s="346">
        <v>131286</v>
      </c>
    </row>
    <row r="93" spans="1:27" ht="30">
      <c r="A93" s="453" t="s">
        <v>239</v>
      </c>
      <c r="B93" s="318" t="s">
        <v>240</v>
      </c>
      <c r="C93" s="454" t="s">
        <v>241</v>
      </c>
      <c r="D93" s="346">
        <v>8760</v>
      </c>
      <c r="E93" s="346">
        <v>8760</v>
      </c>
      <c r="F93" s="346">
        <v>8760</v>
      </c>
      <c r="G93" s="455">
        <v>8784</v>
      </c>
      <c r="H93" s="455">
        <v>8760</v>
      </c>
      <c r="I93" s="346">
        <v>8760</v>
      </c>
      <c r="J93" s="346">
        <v>8760</v>
      </c>
      <c r="K93" s="346">
        <v>8784</v>
      </c>
      <c r="L93" s="346">
        <v>8760</v>
      </c>
      <c r="M93" s="346">
        <v>8760</v>
      </c>
      <c r="N93" s="346">
        <v>8760</v>
      </c>
      <c r="O93" s="346">
        <v>8784</v>
      </c>
      <c r="P93" s="346">
        <v>8760</v>
      </c>
      <c r="Q93" s="346">
        <v>8760</v>
      </c>
      <c r="R93" s="346">
        <v>8760</v>
      </c>
      <c r="S93" s="346">
        <v>8784</v>
      </c>
      <c r="T93" s="346">
        <v>8760</v>
      </c>
      <c r="U93" s="346">
        <v>8760</v>
      </c>
      <c r="V93" s="346">
        <v>8760</v>
      </c>
      <c r="W93" s="346">
        <f>366*24</f>
        <v>8784</v>
      </c>
      <c r="X93" s="346">
        <v>8760</v>
      </c>
      <c r="Y93" s="346">
        <v>8760</v>
      </c>
      <c r="Z93" s="346">
        <v>8760</v>
      </c>
      <c r="AA93" s="346">
        <f>366*24</f>
        <v>8784</v>
      </c>
    </row>
    <row r="94" spans="1:27">
      <c r="A94" s="453" t="s">
        <v>242</v>
      </c>
      <c r="B94" s="318" t="s">
        <v>243</v>
      </c>
      <c r="C94" s="454" t="s">
        <v>241</v>
      </c>
      <c r="D94" s="346">
        <v>2226</v>
      </c>
      <c r="E94" s="346">
        <v>9063.82</v>
      </c>
      <c r="F94" s="346">
        <v>5231.07</v>
      </c>
      <c r="G94" s="455">
        <v>4285</v>
      </c>
      <c r="H94" s="455">
        <v>2518</v>
      </c>
      <c r="I94" s="346">
        <v>1533</v>
      </c>
      <c r="J94" s="346">
        <v>1472</v>
      </c>
      <c r="K94" s="346">
        <v>1441</v>
      </c>
      <c r="L94" s="346">
        <v>1370</v>
      </c>
      <c r="M94" s="346">
        <v>1309</v>
      </c>
      <c r="N94" s="346">
        <v>1238</v>
      </c>
      <c r="O94" s="346">
        <v>1188</v>
      </c>
      <c r="P94" s="346">
        <v>1127</v>
      </c>
      <c r="Q94" s="346">
        <v>1076</v>
      </c>
      <c r="R94" s="346">
        <v>1025</v>
      </c>
      <c r="S94" s="346">
        <v>1005</v>
      </c>
      <c r="T94" s="346">
        <v>995</v>
      </c>
      <c r="U94" s="346">
        <v>985</v>
      </c>
      <c r="V94" s="346">
        <v>954</v>
      </c>
      <c r="W94" s="346">
        <v>893</v>
      </c>
      <c r="X94" s="346">
        <v>883</v>
      </c>
      <c r="Y94" s="346">
        <v>873</v>
      </c>
      <c r="Z94" s="346">
        <v>863</v>
      </c>
      <c r="AA94" s="346">
        <v>863</v>
      </c>
    </row>
    <row r="95" spans="1:27" s="295" customFormat="1" ht="14.25">
      <c r="A95" s="582" t="s">
        <v>244</v>
      </c>
      <c r="B95" s="582"/>
      <c r="C95" s="582"/>
      <c r="D95" s="582"/>
      <c r="E95" s="582"/>
      <c r="F95" s="582"/>
      <c r="G95" s="582"/>
      <c r="H95" s="582"/>
      <c r="I95" s="582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469"/>
      <c r="Y95" s="469"/>
      <c r="Z95" s="469"/>
      <c r="AA95" s="469"/>
    </row>
    <row r="96" spans="1:27" s="295" customFormat="1" ht="14.25">
      <c r="A96" s="457" t="s">
        <v>245</v>
      </c>
      <c r="B96" s="458" t="s">
        <v>246</v>
      </c>
      <c r="C96" s="459" t="s">
        <v>84</v>
      </c>
      <c r="D96" s="460">
        <f t="shared" ref="D96:AA96" si="49">D97+D100</f>
        <v>1.2557824973254634</v>
      </c>
      <c r="E96" s="460">
        <f t="shared" si="49"/>
        <v>1.2553909018264968</v>
      </c>
      <c r="F96" s="460">
        <f t="shared" si="49"/>
        <v>1.2339929608731763</v>
      </c>
      <c r="G96" s="460">
        <f t="shared" si="49"/>
        <v>1.1402957346544698</v>
      </c>
      <c r="H96" s="460">
        <f t="shared" si="49"/>
        <v>1.1939776934603472</v>
      </c>
      <c r="I96" s="460">
        <f t="shared" si="49"/>
        <v>1.1939776934603472</v>
      </c>
      <c r="J96" s="460">
        <f t="shared" si="49"/>
        <v>1.1940000000000006</v>
      </c>
      <c r="K96" s="460">
        <f t="shared" si="49"/>
        <v>1.1940000000000006</v>
      </c>
      <c r="L96" s="460">
        <f t="shared" si="49"/>
        <v>1.1940000000000006</v>
      </c>
      <c r="M96" s="460">
        <f t="shared" si="49"/>
        <v>1.1940000000000006</v>
      </c>
      <c r="N96" s="460">
        <f t="shared" si="49"/>
        <v>1.1940000000000006</v>
      </c>
      <c r="O96" s="460">
        <f t="shared" si="49"/>
        <v>1.1940000000000006</v>
      </c>
      <c r="P96" s="460">
        <f t="shared" si="49"/>
        <v>1.1940000000000006</v>
      </c>
      <c r="Q96" s="460">
        <f t="shared" si="49"/>
        <v>1.1940000000000006</v>
      </c>
      <c r="R96" s="460">
        <f t="shared" si="49"/>
        <v>1.1940000000000006</v>
      </c>
      <c r="S96" s="460">
        <f t="shared" si="49"/>
        <v>1.1940000000000006</v>
      </c>
      <c r="T96" s="460">
        <f t="shared" si="49"/>
        <v>1.1940000000000006</v>
      </c>
      <c r="U96" s="460">
        <f t="shared" si="49"/>
        <v>1.1940000000000006</v>
      </c>
      <c r="V96" s="460">
        <f t="shared" si="49"/>
        <v>1.1940000000000006</v>
      </c>
      <c r="W96" s="460">
        <f t="shared" si="49"/>
        <v>1.1940000000000006</v>
      </c>
      <c r="X96" s="460">
        <f t="shared" si="49"/>
        <v>1.1940000000000006</v>
      </c>
      <c r="Y96" s="460">
        <f t="shared" si="49"/>
        <v>1.1940000000000006</v>
      </c>
      <c r="Z96" s="460">
        <f t="shared" si="49"/>
        <v>1.1940000000000006</v>
      </c>
      <c r="AA96" s="460">
        <f t="shared" si="49"/>
        <v>1.1940000000000006</v>
      </c>
    </row>
    <row r="97" spans="1:27" ht="45">
      <c r="A97" s="125" t="s">
        <v>247</v>
      </c>
      <c r="B97" s="318" t="s">
        <v>83</v>
      </c>
      <c r="C97" s="341" t="s">
        <v>84</v>
      </c>
      <c r="D97" s="461">
        <f t="shared" ref="D97:AA97" si="50">D99/D98</f>
        <v>1.0036233019438354</v>
      </c>
      <c r="E97" s="461">
        <f t="shared" si="50"/>
        <v>0.99653525862446191</v>
      </c>
      <c r="F97" s="461">
        <f t="shared" si="50"/>
        <v>0.960986567219969</v>
      </c>
      <c r="G97" s="461">
        <f t="shared" si="50"/>
        <v>0.87853310843208376</v>
      </c>
      <c r="H97" s="461">
        <f t="shared" si="50"/>
        <v>0.90497770241969633</v>
      </c>
      <c r="I97" s="461">
        <f t="shared" si="50"/>
        <v>0.90497770241969633</v>
      </c>
      <c r="J97" s="461">
        <f t="shared" si="50"/>
        <v>0.90500000000000091</v>
      </c>
      <c r="K97" s="461">
        <f t="shared" si="50"/>
        <v>0.90500000000000091</v>
      </c>
      <c r="L97" s="461">
        <f t="shared" si="50"/>
        <v>0.90500000000000091</v>
      </c>
      <c r="M97" s="461">
        <f t="shared" si="50"/>
        <v>0.90500000000000091</v>
      </c>
      <c r="N97" s="461">
        <f t="shared" si="50"/>
        <v>0.90500000000000091</v>
      </c>
      <c r="O97" s="461">
        <f t="shared" si="50"/>
        <v>0.90500000000000091</v>
      </c>
      <c r="P97" s="461">
        <f t="shared" si="50"/>
        <v>0.90500000000000091</v>
      </c>
      <c r="Q97" s="461">
        <f t="shared" si="50"/>
        <v>0.90500000000000091</v>
      </c>
      <c r="R97" s="461">
        <f t="shared" si="50"/>
        <v>0.90500000000000091</v>
      </c>
      <c r="S97" s="461">
        <f t="shared" si="50"/>
        <v>0.90500000000000091</v>
      </c>
      <c r="T97" s="461">
        <f t="shared" si="50"/>
        <v>0.90500000000000091</v>
      </c>
      <c r="U97" s="461">
        <f t="shared" si="50"/>
        <v>0.90500000000000091</v>
      </c>
      <c r="V97" s="461">
        <f t="shared" si="50"/>
        <v>0.90500000000000091</v>
      </c>
      <c r="W97" s="461">
        <f t="shared" si="50"/>
        <v>0.90500000000000091</v>
      </c>
      <c r="X97" s="461">
        <f t="shared" si="50"/>
        <v>0.90500000000000091</v>
      </c>
      <c r="Y97" s="461">
        <f t="shared" si="50"/>
        <v>0.90500000000000091</v>
      </c>
      <c r="Z97" s="461">
        <f t="shared" si="50"/>
        <v>0.90500000000000091</v>
      </c>
      <c r="AA97" s="461">
        <f t="shared" si="50"/>
        <v>0.90500000000000091</v>
      </c>
    </row>
    <row r="98" spans="1:27" ht="18">
      <c r="A98" s="125" t="s">
        <v>248</v>
      </c>
      <c r="B98" s="310" t="s">
        <v>249</v>
      </c>
      <c r="C98" s="462" t="s">
        <v>250</v>
      </c>
      <c r="D98" s="424">
        <f t="shared" ref="D98:AA98" si="51">D16</f>
        <v>19434.206999999999</v>
      </c>
      <c r="E98" s="424">
        <f t="shared" si="51"/>
        <v>18807.753000000001</v>
      </c>
      <c r="F98" s="424">
        <f t="shared" si="51"/>
        <v>17549.903999999999</v>
      </c>
      <c r="G98" s="424">
        <f t="shared" si="51"/>
        <v>18357.861354575001</v>
      </c>
      <c r="H98" s="424">
        <f t="shared" si="51"/>
        <v>17858.439999999999</v>
      </c>
      <c r="I98" s="424">
        <f t="shared" si="51"/>
        <v>17858.439999999999</v>
      </c>
      <c r="J98" s="424">
        <f t="shared" si="51"/>
        <v>17394.643889107938</v>
      </c>
      <c r="K98" s="424">
        <f t="shared" si="51"/>
        <v>17394.643889107938</v>
      </c>
      <c r="L98" s="424">
        <f t="shared" si="51"/>
        <v>17394.643889107938</v>
      </c>
      <c r="M98" s="424">
        <f t="shared" si="51"/>
        <v>17394.643889107938</v>
      </c>
      <c r="N98" s="424">
        <f t="shared" si="51"/>
        <v>17394.643889107938</v>
      </c>
      <c r="O98" s="424">
        <f t="shared" si="51"/>
        <v>17394.643889107938</v>
      </c>
      <c r="P98" s="424">
        <f t="shared" si="51"/>
        <v>17394.643889107938</v>
      </c>
      <c r="Q98" s="424">
        <f t="shared" si="51"/>
        <v>17394.643889107938</v>
      </c>
      <c r="R98" s="424">
        <f t="shared" si="51"/>
        <v>17394.643889107938</v>
      </c>
      <c r="S98" s="424">
        <f t="shared" si="51"/>
        <v>17394.643889107938</v>
      </c>
      <c r="T98" s="424">
        <f t="shared" si="51"/>
        <v>17394.643889107938</v>
      </c>
      <c r="U98" s="424">
        <f t="shared" si="51"/>
        <v>17394.643889107938</v>
      </c>
      <c r="V98" s="424">
        <f t="shared" si="51"/>
        <v>17394.643889107938</v>
      </c>
      <c r="W98" s="424">
        <f t="shared" si="51"/>
        <v>17394.643889107938</v>
      </c>
      <c r="X98" s="424">
        <f t="shared" si="51"/>
        <v>17394.643889107938</v>
      </c>
      <c r="Y98" s="424">
        <f t="shared" si="51"/>
        <v>17394.643889107938</v>
      </c>
      <c r="Z98" s="424">
        <f t="shared" si="51"/>
        <v>17394.643889107938</v>
      </c>
      <c r="AA98" s="424">
        <f t="shared" si="51"/>
        <v>17394.643889107938</v>
      </c>
    </row>
    <row r="99" spans="1:27">
      <c r="A99" s="125" t="s">
        <v>251</v>
      </c>
      <c r="B99" s="310" t="s">
        <v>252</v>
      </c>
      <c r="C99" s="462" t="s">
        <v>253</v>
      </c>
      <c r="D99" s="424">
        <f>'Прил 3(5)'!F48</f>
        <v>19504.623</v>
      </c>
      <c r="E99" s="424">
        <f>'Прил 3(5)'!G48</f>
        <v>18742.589</v>
      </c>
      <c r="F99" s="424">
        <f>'Прил 3(5)'!H48</f>
        <v>16865.222000000002</v>
      </c>
      <c r="G99" s="424">
        <f>'Прил 3(5)'!I48</f>
        <v>16127.989</v>
      </c>
      <c r="H99" s="424">
        <f>'Прил 3(5)'!J48</f>
        <v>16161.49</v>
      </c>
      <c r="I99" s="424">
        <f>'Прил 3(5)'!K48</f>
        <v>16161.49</v>
      </c>
      <c r="J99" s="424">
        <f>'Прил 3(5)'!L48</f>
        <v>15742.1527196427</v>
      </c>
      <c r="K99" s="424">
        <f>'Прил 3(5)'!M48</f>
        <v>15742.1527196427</v>
      </c>
      <c r="L99" s="424">
        <f>'Прил 3(5)'!N48</f>
        <v>15742.1527196427</v>
      </c>
      <c r="M99" s="424">
        <f>'Прил 3(5)'!O48</f>
        <v>15742.1527196427</v>
      </c>
      <c r="N99" s="424">
        <f>'Прил 3(5)'!P48</f>
        <v>15742.1527196427</v>
      </c>
      <c r="O99" s="424">
        <f>'Прил 3(5)'!Q48</f>
        <v>15742.1527196427</v>
      </c>
      <c r="P99" s="424">
        <f>'Прил 3(5)'!R48</f>
        <v>15742.1527196427</v>
      </c>
      <c r="Q99" s="424">
        <f>'Прил 3(5)'!S48</f>
        <v>15742.1527196427</v>
      </c>
      <c r="R99" s="424">
        <f>'Прил 3(5)'!T48</f>
        <v>15742.1527196427</v>
      </c>
      <c r="S99" s="424">
        <f>'Прил 3(5)'!U48</f>
        <v>15742.1527196427</v>
      </c>
      <c r="T99" s="424">
        <f>'Прил 3(5)'!V48</f>
        <v>15742.1527196427</v>
      </c>
      <c r="U99" s="424">
        <f>'Прил 3(5)'!W48</f>
        <v>15742.1527196427</v>
      </c>
      <c r="V99" s="424">
        <f>'Прил 3(5)'!X48</f>
        <v>15742.1527196427</v>
      </c>
      <c r="W99" s="424">
        <f>'Прил 3(5)'!Y48</f>
        <v>15742.1527196427</v>
      </c>
      <c r="X99" s="424">
        <f>'Прил 3(5)'!Z48</f>
        <v>15742.1527196427</v>
      </c>
      <c r="Y99" s="424">
        <f>'Прил 3(5)'!AA48</f>
        <v>15742.1527196427</v>
      </c>
      <c r="Z99" s="424">
        <f>'Прил 3(5)'!AB48</f>
        <v>15742.1527196427</v>
      </c>
      <c r="AA99" s="424">
        <f>'Прил 3(5)'!AC48</f>
        <v>15742.1527196427</v>
      </c>
    </row>
    <row r="100" spans="1:27" ht="60">
      <c r="A100" s="125" t="s">
        <v>254</v>
      </c>
      <c r="B100" s="318" t="s">
        <v>91</v>
      </c>
      <c r="C100" s="341" t="s">
        <v>84</v>
      </c>
      <c r="D100" s="461">
        <f t="shared" ref="D100:AA100" si="52">D102/D101</f>
        <v>0.2521591953816279</v>
      </c>
      <c r="E100" s="461">
        <f t="shared" si="52"/>
        <v>0.25885564320203486</v>
      </c>
      <c r="F100" s="461">
        <f t="shared" si="52"/>
        <v>0.27300639365320745</v>
      </c>
      <c r="G100" s="461">
        <f t="shared" si="52"/>
        <v>0.26176262622238594</v>
      </c>
      <c r="H100" s="461">
        <f t="shared" si="52"/>
        <v>0.28899999104065083</v>
      </c>
      <c r="I100" s="461">
        <f t="shared" si="52"/>
        <v>0.28899999104065083</v>
      </c>
      <c r="J100" s="461">
        <f t="shared" si="52"/>
        <v>0.28899999999999976</v>
      </c>
      <c r="K100" s="461">
        <f t="shared" si="52"/>
        <v>0.28899999999999976</v>
      </c>
      <c r="L100" s="461">
        <f t="shared" si="52"/>
        <v>0.28899999999999976</v>
      </c>
      <c r="M100" s="461">
        <f t="shared" si="52"/>
        <v>0.28899999999999976</v>
      </c>
      <c r="N100" s="461">
        <f t="shared" si="52"/>
        <v>0.28899999999999976</v>
      </c>
      <c r="O100" s="461">
        <f t="shared" si="52"/>
        <v>0.28899999999999976</v>
      </c>
      <c r="P100" s="461">
        <f t="shared" si="52"/>
        <v>0.28899999999999976</v>
      </c>
      <c r="Q100" s="461">
        <f t="shared" si="52"/>
        <v>0.28899999999999976</v>
      </c>
      <c r="R100" s="461">
        <f t="shared" si="52"/>
        <v>0.28899999999999976</v>
      </c>
      <c r="S100" s="461">
        <f t="shared" si="52"/>
        <v>0.28899999999999976</v>
      </c>
      <c r="T100" s="461">
        <f t="shared" si="52"/>
        <v>0.28899999999999976</v>
      </c>
      <c r="U100" s="461">
        <f t="shared" si="52"/>
        <v>0.28899999999999976</v>
      </c>
      <c r="V100" s="461">
        <f t="shared" si="52"/>
        <v>0.28899999999999976</v>
      </c>
      <c r="W100" s="461">
        <f t="shared" si="52"/>
        <v>0.28899999999999976</v>
      </c>
      <c r="X100" s="461">
        <f t="shared" si="52"/>
        <v>0.28899999999999976</v>
      </c>
      <c r="Y100" s="461">
        <f t="shared" si="52"/>
        <v>0.28899999999999976</v>
      </c>
      <c r="Z100" s="461">
        <f t="shared" si="52"/>
        <v>0.28899999999999976</v>
      </c>
      <c r="AA100" s="461">
        <f t="shared" si="52"/>
        <v>0.28899999999999976</v>
      </c>
    </row>
    <row r="101" spans="1:27" ht="18">
      <c r="A101" s="125" t="s">
        <v>255</v>
      </c>
      <c r="B101" s="310" t="s">
        <v>256</v>
      </c>
      <c r="C101" s="462" t="s">
        <v>250</v>
      </c>
      <c r="D101" s="424">
        <f t="shared" ref="D101:AA101" si="53">D16</f>
        <v>19434.206999999999</v>
      </c>
      <c r="E101" s="424">
        <f t="shared" si="53"/>
        <v>18807.753000000001</v>
      </c>
      <c r="F101" s="424">
        <f t="shared" si="53"/>
        <v>17549.903999999999</v>
      </c>
      <c r="G101" s="424">
        <f t="shared" si="53"/>
        <v>18357.861354575001</v>
      </c>
      <c r="H101" s="424">
        <f t="shared" si="53"/>
        <v>17858.439999999999</v>
      </c>
      <c r="I101" s="424">
        <f t="shared" si="53"/>
        <v>17858.439999999999</v>
      </c>
      <c r="J101" s="424">
        <f t="shared" si="53"/>
        <v>17394.643889107938</v>
      </c>
      <c r="K101" s="424">
        <f t="shared" si="53"/>
        <v>17394.643889107938</v>
      </c>
      <c r="L101" s="424">
        <f t="shared" si="53"/>
        <v>17394.643889107938</v>
      </c>
      <c r="M101" s="424">
        <f t="shared" si="53"/>
        <v>17394.643889107938</v>
      </c>
      <c r="N101" s="424">
        <f t="shared" si="53"/>
        <v>17394.643889107938</v>
      </c>
      <c r="O101" s="424">
        <f t="shared" si="53"/>
        <v>17394.643889107938</v>
      </c>
      <c r="P101" s="424">
        <f t="shared" si="53"/>
        <v>17394.643889107938</v>
      </c>
      <c r="Q101" s="424">
        <f t="shared" si="53"/>
        <v>17394.643889107938</v>
      </c>
      <c r="R101" s="424">
        <f t="shared" si="53"/>
        <v>17394.643889107938</v>
      </c>
      <c r="S101" s="424">
        <f t="shared" si="53"/>
        <v>17394.643889107938</v>
      </c>
      <c r="T101" s="424">
        <f t="shared" si="53"/>
        <v>17394.643889107938</v>
      </c>
      <c r="U101" s="424">
        <f t="shared" si="53"/>
        <v>17394.643889107938</v>
      </c>
      <c r="V101" s="424">
        <f t="shared" si="53"/>
        <v>17394.643889107938</v>
      </c>
      <c r="W101" s="424">
        <f t="shared" si="53"/>
        <v>17394.643889107938</v>
      </c>
      <c r="X101" s="424">
        <f t="shared" si="53"/>
        <v>17394.643889107938</v>
      </c>
      <c r="Y101" s="424">
        <f t="shared" si="53"/>
        <v>17394.643889107938</v>
      </c>
      <c r="Z101" s="424">
        <f t="shared" si="53"/>
        <v>17394.643889107938</v>
      </c>
      <c r="AA101" s="424">
        <f t="shared" si="53"/>
        <v>17394.643889107938</v>
      </c>
    </row>
    <row r="102" spans="1:27">
      <c r="A102" s="125" t="s">
        <v>257</v>
      </c>
      <c r="B102" s="310" t="s">
        <v>252</v>
      </c>
      <c r="C102" s="462" t="s">
        <v>253</v>
      </c>
      <c r="D102" s="424">
        <f>'Прил 3(5)'!F51</f>
        <v>4900.5140000000001</v>
      </c>
      <c r="E102" s="424">
        <f>'Прил 3(5)'!G51</f>
        <v>4868.4930000000004</v>
      </c>
      <c r="F102" s="424">
        <f>'Прил 3(5)'!H51</f>
        <v>4791.2359999999999</v>
      </c>
      <c r="G102" s="424">
        <f>'Прил 3(5)'!I51</f>
        <v>4805.402</v>
      </c>
      <c r="H102" s="424">
        <f>'Прил 3(5)'!J51</f>
        <v>5161.0889999999999</v>
      </c>
      <c r="I102" s="424">
        <f>'Прил 3(5)'!K51</f>
        <v>5161.0889999999999</v>
      </c>
      <c r="J102" s="424">
        <f>'Прил 3(5)'!L51</f>
        <v>5027.0520839521896</v>
      </c>
      <c r="K102" s="424">
        <f>'Прил 3(5)'!M51</f>
        <v>5027.0520839521896</v>
      </c>
      <c r="L102" s="424">
        <f>'Прил 3(5)'!N51</f>
        <v>5027.0520839521896</v>
      </c>
      <c r="M102" s="424">
        <f>'Прил 3(5)'!O51</f>
        <v>5027.0520839521896</v>
      </c>
      <c r="N102" s="424">
        <f>'Прил 3(5)'!P51</f>
        <v>5027.0520839521896</v>
      </c>
      <c r="O102" s="424">
        <f>'Прил 3(5)'!Q51</f>
        <v>5027.0520839521896</v>
      </c>
      <c r="P102" s="424">
        <f>'Прил 3(5)'!R51</f>
        <v>5027.0520839521896</v>
      </c>
      <c r="Q102" s="424">
        <f>'Прил 3(5)'!S51</f>
        <v>5027.0520839521896</v>
      </c>
      <c r="R102" s="424">
        <f>'Прил 3(5)'!T51</f>
        <v>5027.0520839521896</v>
      </c>
      <c r="S102" s="424">
        <f>'Прил 3(5)'!U51</f>
        <v>5027.0520839521896</v>
      </c>
      <c r="T102" s="424">
        <f>'Прил 3(5)'!V51</f>
        <v>5027.0520839521896</v>
      </c>
      <c r="U102" s="424">
        <f>'Прил 3(5)'!W51</f>
        <v>5027.0520839521896</v>
      </c>
      <c r="V102" s="424">
        <f>'Прил 3(5)'!X51</f>
        <v>5027.0520839521896</v>
      </c>
      <c r="W102" s="424">
        <f>'Прил 3(5)'!Y51</f>
        <v>5027.0520839521896</v>
      </c>
      <c r="X102" s="424">
        <f>'Прил 3(5)'!Z51</f>
        <v>5027.0520839521896</v>
      </c>
      <c r="Y102" s="424">
        <f>'Прил 3(5)'!AA51</f>
        <v>5027.0520839521896</v>
      </c>
      <c r="Z102" s="424">
        <f>'Прил 3(5)'!AB51</f>
        <v>5027.0520839521896</v>
      </c>
      <c r="AA102" s="424">
        <f>'Прил 3(5)'!AC51</f>
        <v>5027.0520839521896</v>
      </c>
    </row>
    <row r="103" spans="1:27" ht="60">
      <c r="A103" s="125" t="s">
        <v>258</v>
      </c>
      <c r="B103" s="318" t="s">
        <v>259</v>
      </c>
      <c r="C103" s="341" t="s">
        <v>84</v>
      </c>
      <c r="D103" s="463">
        <f t="shared" ref="D103:AA103" si="54">D105/D104</f>
        <v>1.2557824973254634</v>
      </c>
      <c r="E103" s="463">
        <f t="shared" si="54"/>
        <v>1.2553909018264968</v>
      </c>
      <c r="F103" s="463">
        <f t="shared" si="54"/>
        <v>1.2339929608731766</v>
      </c>
      <c r="G103" s="463">
        <f t="shared" si="54"/>
        <v>1.1402957346544698</v>
      </c>
      <c r="H103" s="463">
        <f t="shared" si="54"/>
        <v>1.193977693460347</v>
      </c>
      <c r="I103" s="463">
        <f t="shared" si="54"/>
        <v>1.193977693460347</v>
      </c>
      <c r="J103" s="463">
        <f t="shared" si="54"/>
        <v>1.1940000000000006</v>
      </c>
      <c r="K103" s="463">
        <f t="shared" si="54"/>
        <v>1.1940000000000006</v>
      </c>
      <c r="L103" s="463">
        <f t="shared" si="54"/>
        <v>1.1940000000000006</v>
      </c>
      <c r="M103" s="463">
        <f t="shared" si="54"/>
        <v>1.1940000000000006</v>
      </c>
      <c r="N103" s="463">
        <f t="shared" si="54"/>
        <v>1.1940000000000006</v>
      </c>
      <c r="O103" s="463">
        <f t="shared" si="54"/>
        <v>1.1940000000000006</v>
      </c>
      <c r="P103" s="463">
        <f t="shared" si="54"/>
        <v>1.1940000000000006</v>
      </c>
      <c r="Q103" s="463">
        <f t="shared" si="54"/>
        <v>1.1940000000000006</v>
      </c>
      <c r="R103" s="463">
        <f t="shared" si="54"/>
        <v>1.1940000000000006</v>
      </c>
      <c r="S103" s="463">
        <f t="shared" si="54"/>
        <v>1.1940000000000006</v>
      </c>
      <c r="T103" s="463">
        <f t="shared" si="54"/>
        <v>1.1940000000000006</v>
      </c>
      <c r="U103" s="463">
        <f t="shared" si="54"/>
        <v>1.1940000000000006</v>
      </c>
      <c r="V103" s="463">
        <f t="shared" si="54"/>
        <v>1.1940000000000006</v>
      </c>
      <c r="W103" s="463">
        <f t="shared" si="54"/>
        <v>1.1940000000000006</v>
      </c>
      <c r="X103" s="463">
        <f t="shared" si="54"/>
        <v>1.1940000000000006</v>
      </c>
      <c r="Y103" s="463">
        <f t="shared" si="54"/>
        <v>1.1940000000000006</v>
      </c>
      <c r="Z103" s="463">
        <f t="shared" si="54"/>
        <v>1.1940000000000006</v>
      </c>
      <c r="AA103" s="463">
        <f t="shared" si="54"/>
        <v>1.1940000000000006</v>
      </c>
    </row>
    <row r="104" spans="1:27" ht="18">
      <c r="A104" s="125" t="s">
        <v>260</v>
      </c>
      <c r="B104" s="310" t="s">
        <v>261</v>
      </c>
      <c r="C104" s="462" t="s">
        <v>250</v>
      </c>
      <c r="D104" s="424">
        <f t="shared" ref="D104:AA104" si="55">D16</f>
        <v>19434.206999999999</v>
      </c>
      <c r="E104" s="424">
        <f t="shared" si="55"/>
        <v>18807.753000000001</v>
      </c>
      <c r="F104" s="424">
        <f t="shared" si="55"/>
        <v>17549.903999999999</v>
      </c>
      <c r="G104" s="424">
        <f t="shared" si="55"/>
        <v>18357.861354575001</v>
      </c>
      <c r="H104" s="424">
        <f t="shared" si="55"/>
        <v>17858.439999999999</v>
      </c>
      <c r="I104" s="424">
        <f t="shared" si="55"/>
        <v>17858.439999999999</v>
      </c>
      <c r="J104" s="424">
        <f t="shared" si="55"/>
        <v>17394.643889107938</v>
      </c>
      <c r="K104" s="424">
        <f t="shared" si="55"/>
        <v>17394.643889107938</v>
      </c>
      <c r="L104" s="424">
        <f t="shared" si="55"/>
        <v>17394.643889107938</v>
      </c>
      <c r="M104" s="424">
        <f t="shared" si="55"/>
        <v>17394.643889107938</v>
      </c>
      <c r="N104" s="424">
        <f t="shared" si="55"/>
        <v>17394.643889107938</v>
      </c>
      <c r="O104" s="424">
        <f t="shared" si="55"/>
        <v>17394.643889107938</v>
      </c>
      <c r="P104" s="424">
        <f t="shared" si="55"/>
        <v>17394.643889107938</v>
      </c>
      <c r="Q104" s="424">
        <f t="shared" si="55"/>
        <v>17394.643889107938</v>
      </c>
      <c r="R104" s="424">
        <f t="shared" si="55"/>
        <v>17394.643889107938</v>
      </c>
      <c r="S104" s="424">
        <f t="shared" si="55"/>
        <v>17394.643889107938</v>
      </c>
      <c r="T104" s="424">
        <f t="shared" si="55"/>
        <v>17394.643889107938</v>
      </c>
      <c r="U104" s="424">
        <f t="shared" si="55"/>
        <v>17394.643889107938</v>
      </c>
      <c r="V104" s="424">
        <f t="shared" si="55"/>
        <v>17394.643889107938</v>
      </c>
      <c r="W104" s="424">
        <f t="shared" si="55"/>
        <v>17394.643889107938</v>
      </c>
      <c r="X104" s="424">
        <f t="shared" si="55"/>
        <v>17394.643889107938</v>
      </c>
      <c r="Y104" s="424">
        <f t="shared" si="55"/>
        <v>17394.643889107938</v>
      </c>
      <c r="Z104" s="424">
        <f t="shared" si="55"/>
        <v>17394.643889107938</v>
      </c>
      <c r="AA104" s="424">
        <f t="shared" si="55"/>
        <v>17394.643889107938</v>
      </c>
    </row>
    <row r="105" spans="1:27">
      <c r="A105" s="125" t="s">
        <v>262</v>
      </c>
      <c r="B105" s="310" t="s">
        <v>252</v>
      </c>
      <c r="C105" s="462" t="s">
        <v>253</v>
      </c>
      <c r="D105" s="424">
        <f t="shared" ref="D105:AA105" si="56">D99+D102</f>
        <v>24405.136999999999</v>
      </c>
      <c r="E105" s="424">
        <f t="shared" si="56"/>
        <v>23611.082000000002</v>
      </c>
      <c r="F105" s="424">
        <f t="shared" si="56"/>
        <v>21656.458000000002</v>
      </c>
      <c r="G105" s="424">
        <f t="shared" si="56"/>
        <v>20933.391</v>
      </c>
      <c r="H105" s="424">
        <f t="shared" si="56"/>
        <v>21322.578999999998</v>
      </c>
      <c r="I105" s="424">
        <f t="shared" si="56"/>
        <v>21322.578999999998</v>
      </c>
      <c r="J105" s="424">
        <f t="shared" si="56"/>
        <v>20769.20480359489</v>
      </c>
      <c r="K105" s="424">
        <f t="shared" si="56"/>
        <v>20769.20480359489</v>
      </c>
      <c r="L105" s="424">
        <f t="shared" si="56"/>
        <v>20769.20480359489</v>
      </c>
      <c r="M105" s="424">
        <f t="shared" si="56"/>
        <v>20769.20480359489</v>
      </c>
      <c r="N105" s="424">
        <f t="shared" si="56"/>
        <v>20769.20480359489</v>
      </c>
      <c r="O105" s="424">
        <f t="shared" si="56"/>
        <v>20769.20480359489</v>
      </c>
      <c r="P105" s="424">
        <f t="shared" si="56"/>
        <v>20769.20480359489</v>
      </c>
      <c r="Q105" s="424">
        <f t="shared" si="56"/>
        <v>20769.20480359489</v>
      </c>
      <c r="R105" s="424">
        <f t="shared" si="56"/>
        <v>20769.20480359489</v>
      </c>
      <c r="S105" s="424">
        <f t="shared" si="56"/>
        <v>20769.20480359489</v>
      </c>
      <c r="T105" s="424">
        <f t="shared" si="56"/>
        <v>20769.20480359489</v>
      </c>
      <c r="U105" s="424">
        <f t="shared" si="56"/>
        <v>20769.20480359489</v>
      </c>
      <c r="V105" s="424">
        <f t="shared" si="56"/>
        <v>20769.20480359489</v>
      </c>
      <c r="W105" s="424">
        <f t="shared" si="56"/>
        <v>20769.20480359489</v>
      </c>
      <c r="X105" s="424">
        <f t="shared" si="56"/>
        <v>20769.20480359489</v>
      </c>
      <c r="Y105" s="424">
        <f t="shared" si="56"/>
        <v>20769.20480359489</v>
      </c>
      <c r="Z105" s="424">
        <f t="shared" si="56"/>
        <v>20769.20480359489</v>
      </c>
      <c r="AA105" s="424">
        <f t="shared" si="56"/>
        <v>20769.20480359489</v>
      </c>
    </row>
    <row r="106" spans="1:27" s="295" customFormat="1" ht="14.25">
      <c r="A106" s="457" t="s">
        <v>263</v>
      </c>
      <c r="B106" s="458" t="s">
        <v>264</v>
      </c>
      <c r="C106" s="459" t="s">
        <v>84</v>
      </c>
      <c r="D106" s="460">
        <f t="shared" ref="D106:AA106" si="57">D107+D110</f>
        <v>0.52054334552263226</v>
      </c>
      <c r="E106" s="460">
        <f t="shared" si="57"/>
        <v>0.47764220432689336</v>
      </c>
      <c r="F106" s="460">
        <f t="shared" si="57"/>
        <v>0.44366721598347347</v>
      </c>
      <c r="G106" s="460">
        <f t="shared" si="57"/>
        <v>0.44399423860619425</v>
      </c>
      <c r="H106" s="460">
        <f t="shared" si="57"/>
        <v>0.45400002682822133</v>
      </c>
      <c r="I106" s="460">
        <f t="shared" si="57"/>
        <v>0.45400002682822133</v>
      </c>
      <c r="J106" s="460">
        <f t="shared" si="57"/>
        <v>0.45400002682822133</v>
      </c>
      <c r="K106" s="460">
        <f t="shared" si="57"/>
        <v>0.45400002682822133</v>
      </c>
      <c r="L106" s="460">
        <f t="shared" si="57"/>
        <v>0.45400002682822133</v>
      </c>
      <c r="M106" s="460">
        <f t="shared" si="57"/>
        <v>0.45400002682822133</v>
      </c>
      <c r="N106" s="460">
        <f t="shared" si="57"/>
        <v>0.45400002682822133</v>
      </c>
      <c r="O106" s="460">
        <f t="shared" si="57"/>
        <v>0.45400002682822133</v>
      </c>
      <c r="P106" s="460">
        <f t="shared" si="57"/>
        <v>0.45400002682822133</v>
      </c>
      <c r="Q106" s="460">
        <f t="shared" si="57"/>
        <v>0.45400002682822133</v>
      </c>
      <c r="R106" s="460">
        <f t="shared" si="57"/>
        <v>0.45400002682822133</v>
      </c>
      <c r="S106" s="460">
        <f t="shared" si="57"/>
        <v>0.45400002682822133</v>
      </c>
      <c r="T106" s="460">
        <f t="shared" si="57"/>
        <v>0.45400002682822133</v>
      </c>
      <c r="U106" s="460">
        <f t="shared" si="57"/>
        <v>0.45400002682822133</v>
      </c>
      <c r="V106" s="460">
        <f t="shared" si="57"/>
        <v>0.45400002682822133</v>
      </c>
      <c r="W106" s="460">
        <f t="shared" si="57"/>
        <v>0.45400002682822133</v>
      </c>
      <c r="X106" s="460">
        <f t="shared" si="57"/>
        <v>0.45400002682822133</v>
      </c>
      <c r="Y106" s="460">
        <f t="shared" si="57"/>
        <v>0.45400002682822133</v>
      </c>
      <c r="Z106" s="460">
        <f t="shared" si="57"/>
        <v>0.45400002682822133</v>
      </c>
      <c r="AA106" s="460">
        <f t="shared" si="57"/>
        <v>0.45400002682822133</v>
      </c>
    </row>
    <row r="107" spans="1:27" ht="45">
      <c r="A107" s="125" t="s">
        <v>265</v>
      </c>
      <c r="B107" s="318" t="s">
        <v>101</v>
      </c>
      <c r="C107" s="341" t="s">
        <v>84</v>
      </c>
      <c r="D107" s="461">
        <f t="shared" ref="D107:AA107" si="58">D109/D108</f>
        <v>0.45415939187861093</v>
      </c>
      <c r="E107" s="461">
        <f t="shared" si="58"/>
        <v>0.42158762350831069</v>
      </c>
      <c r="F107" s="461">
        <f t="shared" si="58"/>
        <v>0.39279629546334682</v>
      </c>
      <c r="G107" s="461">
        <f t="shared" si="58"/>
        <v>0.39430549468958759</v>
      </c>
      <c r="H107" s="461">
        <f t="shared" si="58"/>
        <v>0.39300002926715055</v>
      </c>
      <c r="I107" s="461">
        <f t="shared" si="58"/>
        <v>0.39300002926715055</v>
      </c>
      <c r="J107" s="461">
        <f t="shared" si="58"/>
        <v>0.39300002926715055</v>
      </c>
      <c r="K107" s="461">
        <f t="shared" si="58"/>
        <v>0.39300002926715055</v>
      </c>
      <c r="L107" s="461">
        <f t="shared" si="58"/>
        <v>0.39300002926715055</v>
      </c>
      <c r="M107" s="461">
        <f t="shared" si="58"/>
        <v>0.39300002926715055</v>
      </c>
      <c r="N107" s="461">
        <f t="shared" si="58"/>
        <v>0.39300002926715055</v>
      </c>
      <c r="O107" s="461">
        <f t="shared" si="58"/>
        <v>0.39300002926715055</v>
      </c>
      <c r="P107" s="461">
        <f t="shared" si="58"/>
        <v>0.39300002926715055</v>
      </c>
      <c r="Q107" s="461">
        <f t="shared" si="58"/>
        <v>0.39300002926715055</v>
      </c>
      <c r="R107" s="461">
        <f t="shared" si="58"/>
        <v>0.39300002926715055</v>
      </c>
      <c r="S107" s="461">
        <f t="shared" si="58"/>
        <v>0.39300002926715055</v>
      </c>
      <c r="T107" s="461">
        <f t="shared" si="58"/>
        <v>0.39300002926715055</v>
      </c>
      <c r="U107" s="461">
        <f t="shared" si="58"/>
        <v>0.39300002926715055</v>
      </c>
      <c r="V107" s="461">
        <f t="shared" si="58"/>
        <v>0.39300002926715055</v>
      </c>
      <c r="W107" s="461">
        <f t="shared" si="58"/>
        <v>0.39300002926715055</v>
      </c>
      <c r="X107" s="461">
        <f t="shared" si="58"/>
        <v>0.39300002926715055</v>
      </c>
      <c r="Y107" s="461">
        <f t="shared" si="58"/>
        <v>0.39300002926715055</v>
      </c>
      <c r="Z107" s="461">
        <f t="shared" si="58"/>
        <v>0.39300002926715055</v>
      </c>
      <c r="AA107" s="461">
        <f t="shared" si="58"/>
        <v>0.39300002926715055</v>
      </c>
    </row>
    <row r="108" spans="1:27" ht="18">
      <c r="A108" s="125" t="s">
        <v>266</v>
      </c>
      <c r="B108" s="310" t="s">
        <v>267</v>
      </c>
      <c r="C108" s="462" t="s">
        <v>250</v>
      </c>
      <c r="D108" s="424">
        <f t="shared" ref="D108:AA108" si="59">D53</f>
        <v>17684.364000000001</v>
      </c>
      <c r="E108" s="424">
        <f t="shared" si="59"/>
        <v>16971.53</v>
      </c>
      <c r="F108" s="424">
        <f t="shared" si="59"/>
        <v>17319.089</v>
      </c>
      <c r="G108" s="424">
        <f t="shared" si="59"/>
        <v>16475.18</v>
      </c>
      <c r="H108" s="424">
        <f t="shared" si="59"/>
        <v>16400.64</v>
      </c>
      <c r="I108" s="424">
        <f t="shared" si="59"/>
        <v>16400.64</v>
      </c>
      <c r="J108" s="424">
        <f t="shared" si="59"/>
        <v>16400.64</v>
      </c>
      <c r="K108" s="424">
        <f t="shared" si="59"/>
        <v>16400.64</v>
      </c>
      <c r="L108" s="424">
        <f t="shared" si="59"/>
        <v>16400.64</v>
      </c>
      <c r="M108" s="424">
        <f t="shared" si="59"/>
        <v>16400.64</v>
      </c>
      <c r="N108" s="424">
        <f t="shared" si="59"/>
        <v>16400.64</v>
      </c>
      <c r="O108" s="424">
        <f t="shared" si="59"/>
        <v>16400.64</v>
      </c>
      <c r="P108" s="424">
        <f t="shared" si="59"/>
        <v>16400.64</v>
      </c>
      <c r="Q108" s="424">
        <f t="shared" si="59"/>
        <v>16400.64</v>
      </c>
      <c r="R108" s="424">
        <f t="shared" si="59"/>
        <v>16400.64</v>
      </c>
      <c r="S108" s="424">
        <f t="shared" si="59"/>
        <v>16400.64</v>
      </c>
      <c r="T108" s="424">
        <f t="shared" si="59"/>
        <v>16400.64</v>
      </c>
      <c r="U108" s="424">
        <f t="shared" si="59"/>
        <v>16400.64</v>
      </c>
      <c r="V108" s="424">
        <f t="shared" si="59"/>
        <v>16400.64</v>
      </c>
      <c r="W108" s="424">
        <f t="shared" si="59"/>
        <v>16400.64</v>
      </c>
      <c r="X108" s="424">
        <f t="shared" si="59"/>
        <v>16400.64</v>
      </c>
      <c r="Y108" s="424">
        <f t="shared" si="59"/>
        <v>16400.64</v>
      </c>
      <c r="Z108" s="424">
        <f t="shared" si="59"/>
        <v>16400.64</v>
      </c>
      <c r="AA108" s="424">
        <f t="shared" si="59"/>
        <v>16400.64</v>
      </c>
    </row>
    <row r="109" spans="1:27">
      <c r="A109" s="125" t="s">
        <v>268</v>
      </c>
      <c r="B109" s="310" t="s">
        <v>252</v>
      </c>
      <c r="C109" s="462" t="s">
        <v>253</v>
      </c>
      <c r="D109" s="405">
        <f>'Прил 3(5)'!F57</f>
        <v>8031.52</v>
      </c>
      <c r="E109" s="405">
        <f>'Прил 3(5)'!G57</f>
        <v>7154.9870000000001</v>
      </c>
      <c r="F109" s="405">
        <f>'Прил 3(5)'!H57</f>
        <v>6802.8739999999998</v>
      </c>
      <c r="G109" s="405">
        <f>'Прил 3(5)'!I57</f>
        <v>6496.2539999999999</v>
      </c>
      <c r="H109" s="405">
        <f>'Прил 3(5)'!J57</f>
        <v>6445.4520000000002</v>
      </c>
      <c r="I109" s="405">
        <f>'Прил 3(5)'!K57</f>
        <v>6445.4520000000002</v>
      </c>
      <c r="J109" s="405">
        <f>'Прил 3(5)'!L57</f>
        <v>6445.4520000000002</v>
      </c>
      <c r="K109" s="405">
        <f>'Прил 3(5)'!M57</f>
        <v>6445.4520000000002</v>
      </c>
      <c r="L109" s="405">
        <f>'Прил 3(5)'!N57</f>
        <v>6445.4520000000002</v>
      </c>
      <c r="M109" s="405">
        <f>'Прил 3(5)'!O57</f>
        <v>6445.4520000000002</v>
      </c>
      <c r="N109" s="405">
        <f>'Прил 3(5)'!P57</f>
        <v>6445.4520000000002</v>
      </c>
      <c r="O109" s="405">
        <f>'Прил 3(5)'!Q57</f>
        <v>6445.4520000000002</v>
      </c>
      <c r="P109" s="405">
        <f>'Прил 3(5)'!R57</f>
        <v>6445.4520000000002</v>
      </c>
      <c r="Q109" s="405">
        <f>'Прил 3(5)'!S57</f>
        <v>6445.4520000000002</v>
      </c>
      <c r="R109" s="405">
        <f>'Прил 3(5)'!T57</f>
        <v>6445.4520000000002</v>
      </c>
      <c r="S109" s="405">
        <f>'Прил 3(5)'!U57</f>
        <v>6445.4520000000002</v>
      </c>
      <c r="T109" s="405">
        <f>'Прил 3(5)'!V57</f>
        <v>6445.4520000000002</v>
      </c>
      <c r="U109" s="405">
        <f>'Прил 3(5)'!W57</f>
        <v>6445.4520000000002</v>
      </c>
      <c r="V109" s="405">
        <f>'Прил 3(5)'!X57</f>
        <v>6445.4520000000002</v>
      </c>
      <c r="W109" s="405">
        <f>'Прил 3(5)'!Y57</f>
        <v>6445.4520000000002</v>
      </c>
      <c r="X109" s="405">
        <f>'Прил 3(5)'!Z57</f>
        <v>6445.4520000000002</v>
      </c>
      <c r="Y109" s="405">
        <f>'Прил 3(5)'!AA57</f>
        <v>6445.4520000000002</v>
      </c>
      <c r="Z109" s="405">
        <f>'Прил 3(5)'!AB57</f>
        <v>6445.4520000000002</v>
      </c>
      <c r="AA109" s="405">
        <f>'Прил 3(5)'!AC57</f>
        <v>6445.4520000000002</v>
      </c>
    </row>
    <row r="110" spans="1:27" ht="45">
      <c r="A110" s="125" t="s">
        <v>269</v>
      </c>
      <c r="B110" s="318" t="s">
        <v>106</v>
      </c>
      <c r="C110" s="341" t="s">
        <v>84</v>
      </c>
      <c r="D110" s="461">
        <f t="shared" ref="D110:AA110" si="60">D112/D111</f>
        <v>6.6383953644021346E-2</v>
      </c>
      <c r="E110" s="461">
        <f t="shared" si="60"/>
        <v>5.6054580818582653E-2</v>
      </c>
      <c r="F110" s="461">
        <f t="shared" si="60"/>
        <v>5.0870920520126664E-2</v>
      </c>
      <c r="G110" s="461">
        <f t="shared" si="60"/>
        <v>4.9688743916606673E-2</v>
      </c>
      <c r="H110" s="461">
        <f t="shared" si="60"/>
        <v>6.0999997561070787E-2</v>
      </c>
      <c r="I110" s="461">
        <f t="shared" si="60"/>
        <v>6.0999997561070787E-2</v>
      </c>
      <c r="J110" s="461">
        <f t="shared" si="60"/>
        <v>6.0999997561070787E-2</v>
      </c>
      <c r="K110" s="461">
        <f t="shared" si="60"/>
        <v>6.0999997561070787E-2</v>
      </c>
      <c r="L110" s="461">
        <f t="shared" si="60"/>
        <v>6.0999997561070787E-2</v>
      </c>
      <c r="M110" s="461">
        <f t="shared" si="60"/>
        <v>6.0999997561070787E-2</v>
      </c>
      <c r="N110" s="461">
        <f t="shared" si="60"/>
        <v>6.0999997561070787E-2</v>
      </c>
      <c r="O110" s="461">
        <f t="shared" si="60"/>
        <v>6.0999997561070787E-2</v>
      </c>
      <c r="P110" s="461">
        <f t="shared" si="60"/>
        <v>6.0999997561070787E-2</v>
      </c>
      <c r="Q110" s="461">
        <f t="shared" si="60"/>
        <v>6.0999997561070787E-2</v>
      </c>
      <c r="R110" s="461">
        <f t="shared" si="60"/>
        <v>6.0999997561070787E-2</v>
      </c>
      <c r="S110" s="461">
        <f t="shared" si="60"/>
        <v>6.0999997561070787E-2</v>
      </c>
      <c r="T110" s="461">
        <f t="shared" si="60"/>
        <v>6.0999997561070787E-2</v>
      </c>
      <c r="U110" s="461">
        <f t="shared" si="60"/>
        <v>6.0999997561070787E-2</v>
      </c>
      <c r="V110" s="461">
        <f t="shared" si="60"/>
        <v>6.0999997561070787E-2</v>
      </c>
      <c r="W110" s="461">
        <f t="shared" si="60"/>
        <v>6.0999997561070787E-2</v>
      </c>
      <c r="X110" s="461">
        <f t="shared" si="60"/>
        <v>6.0999997561070787E-2</v>
      </c>
      <c r="Y110" s="461">
        <f t="shared" si="60"/>
        <v>6.0999997561070787E-2</v>
      </c>
      <c r="Z110" s="461">
        <f t="shared" si="60"/>
        <v>6.0999997561070787E-2</v>
      </c>
      <c r="AA110" s="461">
        <f t="shared" si="60"/>
        <v>6.0999997561070787E-2</v>
      </c>
    </row>
    <row r="111" spans="1:27" ht="18">
      <c r="A111" s="125" t="s">
        <v>270</v>
      </c>
      <c r="B111" s="310" t="s">
        <v>271</v>
      </c>
      <c r="C111" s="462" t="s">
        <v>250</v>
      </c>
      <c r="D111" s="424">
        <f t="shared" ref="D111:AA111" si="61">D53</f>
        <v>17684.364000000001</v>
      </c>
      <c r="E111" s="424">
        <f t="shared" si="61"/>
        <v>16971.53</v>
      </c>
      <c r="F111" s="424">
        <f t="shared" si="61"/>
        <v>17319.089</v>
      </c>
      <c r="G111" s="424">
        <f t="shared" si="61"/>
        <v>16475.18</v>
      </c>
      <c r="H111" s="424">
        <f t="shared" si="61"/>
        <v>16400.64</v>
      </c>
      <c r="I111" s="424">
        <f t="shared" si="61"/>
        <v>16400.64</v>
      </c>
      <c r="J111" s="424">
        <f t="shared" si="61"/>
        <v>16400.64</v>
      </c>
      <c r="K111" s="424">
        <f t="shared" si="61"/>
        <v>16400.64</v>
      </c>
      <c r="L111" s="424">
        <f t="shared" si="61"/>
        <v>16400.64</v>
      </c>
      <c r="M111" s="424">
        <f t="shared" si="61"/>
        <v>16400.64</v>
      </c>
      <c r="N111" s="424">
        <f t="shared" si="61"/>
        <v>16400.64</v>
      </c>
      <c r="O111" s="424">
        <f t="shared" si="61"/>
        <v>16400.64</v>
      </c>
      <c r="P111" s="424">
        <f t="shared" si="61"/>
        <v>16400.64</v>
      </c>
      <c r="Q111" s="424">
        <f t="shared" si="61"/>
        <v>16400.64</v>
      </c>
      <c r="R111" s="424">
        <f t="shared" si="61"/>
        <v>16400.64</v>
      </c>
      <c r="S111" s="424">
        <f t="shared" si="61"/>
        <v>16400.64</v>
      </c>
      <c r="T111" s="424">
        <f t="shared" si="61"/>
        <v>16400.64</v>
      </c>
      <c r="U111" s="424">
        <f t="shared" si="61"/>
        <v>16400.64</v>
      </c>
      <c r="V111" s="424">
        <f t="shared" si="61"/>
        <v>16400.64</v>
      </c>
      <c r="W111" s="424">
        <f t="shared" si="61"/>
        <v>16400.64</v>
      </c>
      <c r="X111" s="424">
        <f t="shared" si="61"/>
        <v>16400.64</v>
      </c>
      <c r="Y111" s="424">
        <f t="shared" si="61"/>
        <v>16400.64</v>
      </c>
      <c r="Z111" s="424">
        <f t="shared" si="61"/>
        <v>16400.64</v>
      </c>
      <c r="AA111" s="424">
        <f t="shared" si="61"/>
        <v>16400.64</v>
      </c>
    </row>
    <row r="112" spans="1:27">
      <c r="A112" s="125" t="s">
        <v>272</v>
      </c>
      <c r="B112" s="310" t="s">
        <v>252</v>
      </c>
      <c r="C112" s="341" t="s">
        <v>253</v>
      </c>
      <c r="D112" s="424">
        <f>'Прил 3(5)'!F60</f>
        <v>1173.9580000000001</v>
      </c>
      <c r="E112" s="424">
        <f>'Прил 3(5)'!G60</f>
        <v>951.33199999999999</v>
      </c>
      <c r="F112" s="424">
        <f>'Прил 3(5)'!H60</f>
        <v>881.03800000000001</v>
      </c>
      <c r="G112" s="424">
        <f>'Прил 3(5)'!I60</f>
        <v>818.63099999999997</v>
      </c>
      <c r="H112" s="424">
        <f>'Прил 3(5)'!J60</f>
        <v>1000.439</v>
      </c>
      <c r="I112" s="424">
        <f>'Прил 3(5)'!K60</f>
        <v>1000.439</v>
      </c>
      <c r="J112" s="424">
        <f>'Прил 3(5)'!L60</f>
        <v>1000.439</v>
      </c>
      <c r="K112" s="424">
        <f>'Прил 3(5)'!M60</f>
        <v>1000.439</v>
      </c>
      <c r="L112" s="424">
        <f>'Прил 3(5)'!N60</f>
        <v>1000.439</v>
      </c>
      <c r="M112" s="424">
        <f>'Прил 3(5)'!O60</f>
        <v>1000.439</v>
      </c>
      <c r="N112" s="424">
        <f>'Прил 3(5)'!P60</f>
        <v>1000.439</v>
      </c>
      <c r="O112" s="424">
        <f>'Прил 3(5)'!Q60</f>
        <v>1000.439</v>
      </c>
      <c r="P112" s="424">
        <f>'Прил 3(5)'!R60</f>
        <v>1000.439</v>
      </c>
      <c r="Q112" s="424">
        <f>'Прил 3(5)'!S60</f>
        <v>1000.439</v>
      </c>
      <c r="R112" s="424">
        <f>'Прил 3(5)'!T60</f>
        <v>1000.439</v>
      </c>
      <c r="S112" s="424">
        <f>'Прил 3(5)'!U60</f>
        <v>1000.439</v>
      </c>
      <c r="T112" s="424">
        <f>'Прил 3(5)'!V60</f>
        <v>1000.439</v>
      </c>
      <c r="U112" s="424">
        <f>'Прил 3(5)'!W60</f>
        <v>1000.439</v>
      </c>
      <c r="V112" s="424">
        <f>'Прил 3(5)'!X60</f>
        <v>1000.439</v>
      </c>
      <c r="W112" s="424">
        <f>'Прил 3(5)'!Y60</f>
        <v>1000.439</v>
      </c>
      <c r="X112" s="424">
        <f>'Прил 3(5)'!Z60</f>
        <v>1000.439</v>
      </c>
      <c r="Y112" s="424">
        <f>'Прил 3(5)'!AA60</f>
        <v>1000.439</v>
      </c>
      <c r="Z112" s="424">
        <f>'Прил 3(5)'!AB60</f>
        <v>1000.439</v>
      </c>
      <c r="AA112" s="424">
        <f>'Прил 3(5)'!AC60</f>
        <v>1000.439</v>
      </c>
    </row>
    <row r="113" spans="1:1025">
      <c r="A113" s="202"/>
      <c r="B113" s="464"/>
      <c r="C113" s="465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</row>
    <row r="114" spans="1:1025">
      <c r="A114" s="202"/>
      <c r="B114" s="464"/>
      <c r="C114" s="465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</row>
    <row r="115" spans="1:1025">
      <c r="A115" s="202"/>
      <c r="B115" s="464"/>
      <c r="C115" s="465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  <c r="S115" s="466"/>
      <c r="T115" s="466"/>
      <c r="U115" s="466"/>
      <c r="V115" s="466"/>
      <c r="W115" s="466"/>
      <c r="X115" s="466"/>
      <c r="Y115" s="466"/>
      <c r="Z115" s="466"/>
      <c r="AA115" s="466"/>
    </row>
    <row r="117" spans="1:1025">
      <c r="Q117"/>
      <c r="R117"/>
      <c r="S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  <c r="AMK117"/>
    </row>
    <row r="118" spans="1:1025" s="286" customFormat="1" ht="18.75">
      <c r="A118" s="289"/>
      <c r="B118" s="543"/>
      <c r="C118" s="543"/>
      <c r="D118" s="290"/>
      <c r="E118" s="291"/>
      <c r="G118" s="292"/>
      <c r="H118" s="292"/>
      <c r="I118" s="535"/>
      <c r="J118" s="289"/>
      <c r="K118" s="289"/>
      <c r="L118" s="468"/>
      <c r="N118" s="468"/>
      <c r="O118" s="468"/>
      <c r="P118" s="535"/>
      <c r="U118" s="293"/>
      <c r="V118" s="531"/>
      <c r="W118" s="534"/>
      <c r="X118" s="534"/>
      <c r="Y118" s="534"/>
      <c r="Z118" s="534"/>
    </row>
    <row r="119" spans="1:1025" s="286" customFormat="1" ht="18.75">
      <c r="A119" s="289"/>
      <c r="B119" s="543"/>
      <c r="C119" s="543"/>
      <c r="D119" s="290"/>
      <c r="E119" s="291"/>
      <c r="G119"/>
      <c r="H119" s="289"/>
      <c r="I119" s="535"/>
      <c r="J119" s="289"/>
      <c r="K119" s="289"/>
      <c r="L119" s="468"/>
      <c r="N119" s="468"/>
      <c r="O119" s="468"/>
      <c r="P119" s="535"/>
      <c r="V119" s="532"/>
      <c r="W119" s="470"/>
      <c r="X119" s="471"/>
    </row>
    <row r="120" spans="1:1025" s="286" customFormat="1" ht="18.75">
      <c r="A120" s="289"/>
      <c r="B120" s="544"/>
      <c r="C120" s="544"/>
      <c r="D120" s="290"/>
      <c r="E120" s="291"/>
      <c r="G120"/>
      <c r="H120" s="289"/>
      <c r="I120" s="537"/>
      <c r="J120" s="289"/>
      <c r="K120" s="289"/>
      <c r="L120" s="468"/>
      <c r="N120" s="468"/>
      <c r="O120" s="468"/>
      <c r="P120" s="535"/>
      <c r="V120" s="532"/>
      <c r="W120" s="470"/>
      <c r="X120" s="472"/>
    </row>
    <row r="121" spans="1:1025" s="286" customFormat="1" ht="30.75" customHeight="1">
      <c r="A121" s="289"/>
      <c r="B121" s="545"/>
      <c r="C121" s="545"/>
      <c r="D121" s="289"/>
      <c r="E121" s="291"/>
      <c r="G121"/>
      <c r="H121" s="289"/>
      <c r="I121" s="535"/>
      <c r="J121" s="289"/>
      <c r="K121" s="289"/>
      <c r="L121" s="468"/>
      <c r="N121" s="468"/>
      <c r="O121" s="468"/>
      <c r="P121" s="536"/>
      <c r="U121" s="294"/>
      <c r="V121" s="533"/>
      <c r="W121" s="534"/>
      <c r="X121" s="534"/>
      <c r="Y121" s="534"/>
      <c r="Z121" s="534"/>
    </row>
  </sheetData>
  <mergeCells count="12">
    <mergeCell ref="U1:AA1"/>
    <mergeCell ref="U2:AA2"/>
    <mergeCell ref="U3:AA3"/>
    <mergeCell ref="A95:W95"/>
    <mergeCell ref="A5:AA5"/>
    <mergeCell ref="A11:V11"/>
    <mergeCell ref="A60:W60"/>
    <mergeCell ref="A72:W72"/>
    <mergeCell ref="A6:A9"/>
    <mergeCell ref="B6:B9"/>
    <mergeCell ref="C6:C9"/>
    <mergeCell ref="D6:AA7"/>
  </mergeCells>
  <pageMargins left="0.59055118110236227" right="0.59055118110236227" top="0.59055118110236227" bottom="0.59055118110236227" header="0.51181102362204722" footer="0.51181102362204722"/>
  <pageSetup paperSize="9" scale="29" firstPageNumber="0" fitToHeight="0" orientation="landscape" useFirstPageNumber="1" r:id="rId1"/>
  <rowBreaks count="1" manualBreakCount="1"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12"/>
  <sheetViews>
    <sheetView view="pageBreakPreview" zoomScaleNormal="100" zoomScaleSheetLayoutView="100" workbookViewId="0">
      <selection activeCell="B22" sqref="B22"/>
    </sheetView>
  </sheetViews>
  <sheetFormatPr defaultColWidth="9" defaultRowHeight="15" outlineLevelCol="1"/>
  <cols>
    <col min="1" max="1" width="6.140625" style="287" customWidth="1"/>
    <col min="2" max="2" width="54.5703125" style="2" customWidth="1"/>
    <col min="3" max="3" width="12.5703125" style="2" customWidth="1"/>
    <col min="4" max="5" width="17.7109375" style="272" hidden="1" customWidth="1"/>
    <col min="6" max="6" width="18" style="2" hidden="1" customWidth="1"/>
    <col min="7" max="7" width="15.85546875" style="2" hidden="1" customWidth="1"/>
    <col min="8" max="8" width="56" style="273" hidden="1" customWidth="1"/>
    <col min="9" max="10" width="17.7109375" style="2" customWidth="1"/>
    <col min="11" max="11" width="18" style="2" customWidth="1"/>
    <col min="12" max="12" width="15.85546875" style="2" customWidth="1"/>
    <col min="13" max="13" width="56" style="2" customWidth="1"/>
    <col min="14" max="26" width="13.42578125" style="2" hidden="1" customWidth="1" outlineLevel="1"/>
    <col min="27" max="30" width="15" style="2" hidden="1" customWidth="1" outlineLevel="1"/>
    <col min="31" max="31" width="26.42578125" style="2" hidden="1" customWidth="1" outlineLevel="1"/>
    <col min="32" max="32" width="9.140625" style="2" customWidth="1" collapsed="1"/>
    <col min="33" max="33" width="41.7109375" style="2" customWidth="1"/>
    <col min="34" max="1025" width="9.140625" style="2" customWidth="1"/>
  </cols>
  <sheetData>
    <row r="1" spans="1:33" ht="31.5" customHeight="1">
      <c r="V1" s="594" t="s">
        <v>273</v>
      </c>
      <c r="W1" s="594"/>
      <c r="X1" s="594"/>
      <c r="Y1" s="594"/>
      <c r="Z1" s="594"/>
      <c r="AA1" s="594"/>
      <c r="AB1" s="594"/>
      <c r="AC1" s="594"/>
      <c r="AD1" s="594"/>
    </row>
    <row r="2" spans="1:33" ht="31.5">
      <c r="A2" s="595" t="s">
        <v>274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V2" s="355"/>
      <c r="W2" s="356"/>
      <c r="X2" s="356"/>
      <c r="Y2" s="356"/>
      <c r="Z2" s="356"/>
      <c r="AA2" s="356"/>
      <c r="AB2" s="356"/>
      <c r="AC2" s="356"/>
      <c r="AD2" s="356"/>
    </row>
    <row r="3" spans="1:33" ht="62.25" customHeight="1">
      <c r="A3" s="583" t="s">
        <v>275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</row>
    <row r="4" spans="1:33" ht="15" customHeight="1">
      <c r="A4" s="587" t="s">
        <v>1</v>
      </c>
      <c r="B4" s="588" t="s">
        <v>2</v>
      </c>
      <c r="C4" s="588" t="s">
        <v>3</v>
      </c>
      <c r="D4" s="593" t="s">
        <v>276</v>
      </c>
      <c r="E4" s="593"/>
      <c r="F4" s="593"/>
      <c r="G4" s="593"/>
      <c r="H4" s="593"/>
      <c r="I4" s="596" t="s">
        <v>277</v>
      </c>
      <c r="J4" s="596"/>
      <c r="K4" s="596"/>
      <c r="L4" s="596"/>
      <c r="M4" s="596"/>
      <c r="N4" s="597" t="s">
        <v>278</v>
      </c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</row>
    <row r="5" spans="1:33">
      <c r="A5" s="587"/>
      <c r="B5" s="588"/>
      <c r="C5" s="588"/>
      <c r="D5" s="593"/>
      <c r="E5" s="593"/>
      <c r="F5" s="593"/>
      <c r="G5" s="593"/>
      <c r="H5" s="593"/>
      <c r="I5" s="596"/>
      <c r="J5" s="596"/>
      <c r="K5" s="596"/>
      <c r="L5" s="596"/>
      <c r="M5" s="596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</row>
    <row r="6" spans="1:33" ht="15.75" customHeight="1">
      <c r="A6" s="587"/>
      <c r="B6" s="588"/>
      <c r="C6" s="588"/>
      <c r="D6" s="591" t="s">
        <v>8</v>
      </c>
      <c r="E6" s="591" t="s">
        <v>7</v>
      </c>
      <c r="F6" s="592" t="s">
        <v>279</v>
      </c>
      <c r="G6" s="592" t="s">
        <v>280</v>
      </c>
      <c r="H6" s="592" t="s">
        <v>281</v>
      </c>
      <c r="I6" s="591" t="s">
        <v>8</v>
      </c>
      <c r="J6" s="591" t="s">
        <v>7</v>
      </c>
      <c r="K6" s="592" t="s">
        <v>279</v>
      </c>
      <c r="L6" s="592" t="s">
        <v>280</v>
      </c>
      <c r="M6" s="592" t="s">
        <v>281</v>
      </c>
      <c r="N6" s="299">
        <v>2019</v>
      </c>
      <c r="O6" s="299">
        <v>2020</v>
      </c>
      <c r="P6" s="299">
        <v>2021</v>
      </c>
      <c r="Q6" s="299">
        <v>2022</v>
      </c>
      <c r="R6" s="299">
        <v>2023</v>
      </c>
      <c r="S6" s="299">
        <v>2024</v>
      </c>
      <c r="T6" s="299">
        <v>2025</v>
      </c>
      <c r="U6" s="299">
        <v>2026</v>
      </c>
      <c r="V6" s="299">
        <v>2027</v>
      </c>
      <c r="W6" s="299">
        <v>2028</v>
      </c>
      <c r="X6" s="299">
        <v>2029</v>
      </c>
      <c r="Y6" s="299">
        <v>2030</v>
      </c>
      <c r="Z6" s="299">
        <v>2031</v>
      </c>
      <c r="AA6" s="299">
        <v>2032</v>
      </c>
      <c r="AB6" s="299">
        <v>2033</v>
      </c>
      <c r="AC6" s="299">
        <v>2034</v>
      </c>
      <c r="AD6" s="299">
        <v>2035</v>
      </c>
      <c r="AE6" s="299">
        <v>2036</v>
      </c>
    </row>
    <row r="7" spans="1:33" ht="15.75">
      <c r="A7" s="587"/>
      <c r="B7" s="588"/>
      <c r="C7" s="588"/>
      <c r="D7" s="591"/>
      <c r="E7" s="591"/>
      <c r="F7" s="592"/>
      <c r="G7" s="592"/>
      <c r="H7" s="592"/>
      <c r="I7" s="591"/>
      <c r="J7" s="591"/>
      <c r="K7" s="592"/>
      <c r="L7" s="592"/>
      <c r="M7" s="592"/>
      <c r="N7" s="299" t="s">
        <v>8</v>
      </c>
      <c r="O7" s="299" t="s">
        <v>8</v>
      </c>
      <c r="P7" s="299" t="s">
        <v>8</v>
      </c>
      <c r="Q7" s="299" t="s">
        <v>8</v>
      </c>
      <c r="R7" s="299" t="s">
        <v>8</v>
      </c>
      <c r="S7" s="299" t="s">
        <v>8</v>
      </c>
      <c r="T7" s="299" t="s">
        <v>8</v>
      </c>
      <c r="U7" s="299" t="s">
        <v>8</v>
      </c>
      <c r="V7" s="299" t="s">
        <v>8</v>
      </c>
      <c r="W7" s="299" t="s">
        <v>8</v>
      </c>
      <c r="X7" s="299" t="s">
        <v>8</v>
      </c>
      <c r="Y7" s="299" t="s">
        <v>8</v>
      </c>
      <c r="Z7" s="299" t="s">
        <v>8</v>
      </c>
      <c r="AA7" s="299" t="s">
        <v>8</v>
      </c>
      <c r="AB7" s="299" t="s">
        <v>8</v>
      </c>
      <c r="AC7" s="299" t="s">
        <v>8</v>
      </c>
      <c r="AD7" s="299" t="s">
        <v>8</v>
      </c>
      <c r="AE7" s="299" t="s">
        <v>8</v>
      </c>
    </row>
    <row r="8" spans="1:33" ht="15.75">
      <c r="A8" s="298" t="s">
        <v>111</v>
      </c>
      <c r="B8" s="300">
        <v>2</v>
      </c>
      <c r="C8" s="300">
        <v>3</v>
      </c>
      <c r="D8" s="301">
        <v>4</v>
      </c>
      <c r="E8" s="301">
        <v>5</v>
      </c>
      <c r="F8" s="302">
        <v>6</v>
      </c>
      <c r="G8" s="302">
        <v>7</v>
      </c>
      <c r="H8" s="302">
        <v>8</v>
      </c>
      <c r="I8" s="302">
        <v>4</v>
      </c>
      <c r="J8" s="302">
        <v>5</v>
      </c>
      <c r="K8" s="302">
        <v>6</v>
      </c>
      <c r="L8" s="302">
        <v>7</v>
      </c>
      <c r="M8" s="302">
        <v>8</v>
      </c>
      <c r="N8" s="302">
        <v>6</v>
      </c>
      <c r="O8" s="302">
        <v>7</v>
      </c>
      <c r="P8" s="302">
        <v>8</v>
      </c>
      <c r="Q8" s="302">
        <v>9</v>
      </c>
      <c r="R8" s="302">
        <v>10</v>
      </c>
      <c r="S8" s="302">
        <v>11</v>
      </c>
      <c r="T8" s="302">
        <v>12</v>
      </c>
      <c r="U8" s="302">
        <v>13</v>
      </c>
      <c r="V8" s="302">
        <v>14</v>
      </c>
      <c r="W8" s="302">
        <v>15</v>
      </c>
      <c r="X8" s="302">
        <v>16</v>
      </c>
      <c r="Y8" s="302">
        <v>17</v>
      </c>
      <c r="Z8" s="302">
        <v>18</v>
      </c>
      <c r="AA8" s="302">
        <v>19</v>
      </c>
      <c r="AB8" s="302">
        <v>20</v>
      </c>
      <c r="AC8" s="302">
        <v>21</v>
      </c>
      <c r="AD8" s="302">
        <v>22</v>
      </c>
      <c r="AE8" s="302">
        <v>23</v>
      </c>
    </row>
    <row r="9" spans="1:33">
      <c r="A9" s="584" t="s">
        <v>112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</row>
    <row r="10" spans="1:33" s="295" customFormat="1" ht="14.25">
      <c r="A10" s="303" t="s">
        <v>11</v>
      </c>
      <c r="B10" s="304" t="s">
        <v>113</v>
      </c>
      <c r="C10" s="305" t="s">
        <v>114</v>
      </c>
      <c r="D10" s="306">
        <f t="shared" ref="D10:I10" si="0">D11+D12</f>
        <v>480474.15617267403</v>
      </c>
      <c r="E10" s="306">
        <f t="shared" si="0"/>
        <v>498297.25582445704</v>
      </c>
      <c r="F10" s="307">
        <f t="shared" ref="F10:F16" si="1">E10-D10</f>
        <v>17823.099651783006</v>
      </c>
      <c r="G10" s="308">
        <f t="shared" ref="G10:G16" si="2">E10/D10</f>
        <v>1.0370948144094929</v>
      </c>
      <c r="H10" s="309"/>
      <c r="I10" s="348">
        <f t="shared" si="0"/>
        <v>516139.40357794001</v>
      </c>
      <c r="J10" s="348"/>
      <c r="K10" s="348"/>
      <c r="L10" s="348"/>
      <c r="M10" s="348"/>
      <c r="N10" s="348">
        <f t="shared" ref="N10:AD10" si="3">N11+N12</f>
        <v>543886.76757573301</v>
      </c>
      <c r="O10" s="348">
        <f t="shared" si="3"/>
        <v>570090.01744165807</v>
      </c>
      <c r="P10" s="348">
        <f t="shared" si="3"/>
        <v>593779.91099913092</v>
      </c>
      <c r="Q10" s="348">
        <f t="shared" si="3"/>
        <v>593779.91099913092</v>
      </c>
      <c r="R10" s="348">
        <f t="shared" si="3"/>
        <v>593779.91099913092</v>
      </c>
      <c r="S10" s="348">
        <f t="shared" si="3"/>
        <v>593779.91099913092</v>
      </c>
      <c r="T10" s="348">
        <f t="shared" si="3"/>
        <v>593779.91099913092</v>
      </c>
      <c r="U10" s="348">
        <f t="shared" si="3"/>
        <v>593779.91099913092</v>
      </c>
      <c r="V10" s="348">
        <f t="shared" si="3"/>
        <v>593779.91099913092</v>
      </c>
      <c r="W10" s="348">
        <f t="shared" si="3"/>
        <v>593779.91099913092</v>
      </c>
      <c r="X10" s="348">
        <f t="shared" si="3"/>
        <v>593779.91099913092</v>
      </c>
      <c r="Y10" s="348">
        <f t="shared" si="3"/>
        <v>593779.91099913092</v>
      </c>
      <c r="Z10" s="348">
        <f t="shared" si="3"/>
        <v>593779.91099913092</v>
      </c>
      <c r="AA10" s="348">
        <f t="shared" si="3"/>
        <v>593779.91099913092</v>
      </c>
      <c r="AB10" s="348">
        <f t="shared" si="3"/>
        <v>593779.91099913092</v>
      </c>
      <c r="AC10" s="348">
        <f t="shared" si="3"/>
        <v>593779.91099913092</v>
      </c>
      <c r="AD10" s="348">
        <f t="shared" si="3"/>
        <v>593779.91099913092</v>
      </c>
      <c r="AE10" s="348">
        <f>AD10</f>
        <v>593779.91099913092</v>
      </c>
      <c r="AG10" s="295" t="s">
        <v>282</v>
      </c>
    </row>
    <row r="11" spans="1:33">
      <c r="A11" s="125"/>
      <c r="B11" s="310" t="s">
        <v>115</v>
      </c>
      <c r="C11" s="311" t="s">
        <v>114</v>
      </c>
      <c r="D11" s="312">
        <v>281959.05733427801</v>
      </c>
      <c r="E11" s="312">
        <v>295407.66202719801</v>
      </c>
      <c r="F11" s="313">
        <f t="shared" si="1"/>
        <v>13448.604692919995</v>
      </c>
      <c r="G11" s="314">
        <f t="shared" si="2"/>
        <v>1.0476970125381571</v>
      </c>
      <c r="H11" s="315"/>
      <c r="I11" s="124">
        <v>300280.06421267003</v>
      </c>
      <c r="J11" s="124"/>
      <c r="K11" s="124"/>
      <c r="L11" s="124"/>
      <c r="M11" s="124"/>
      <c r="N11" s="124">
        <v>318798.25638900901</v>
      </c>
      <c r="O11" s="124">
        <v>332273.70791974</v>
      </c>
      <c r="P11" s="124">
        <v>345336.82287619798</v>
      </c>
      <c r="Q11" s="357">
        <f t="shared" ref="Q11:AE11" si="4">$P$11</f>
        <v>345336.82287619798</v>
      </c>
      <c r="R11" s="357">
        <f t="shared" si="4"/>
        <v>345336.82287619798</v>
      </c>
      <c r="S11" s="357">
        <f t="shared" si="4"/>
        <v>345336.82287619798</v>
      </c>
      <c r="T11" s="357">
        <f t="shared" si="4"/>
        <v>345336.82287619798</v>
      </c>
      <c r="U11" s="357">
        <f t="shared" si="4"/>
        <v>345336.82287619798</v>
      </c>
      <c r="V11" s="357">
        <f t="shared" si="4"/>
        <v>345336.82287619798</v>
      </c>
      <c r="W11" s="357">
        <f t="shared" si="4"/>
        <v>345336.82287619798</v>
      </c>
      <c r="X11" s="357">
        <f t="shared" si="4"/>
        <v>345336.82287619798</v>
      </c>
      <c r="Y11" s="357">
        <f t="shared" si="4"/>
        <v>345336.82287619798</v>
      </c>
      <c r="Z11" s="357">
        <f t="shared" si="4"/>
        <v>345336.82287619798</v>
      </c>
      <c r="AA11" s="357">
        <f t="shared" si="4"/>
        <v>345336.82287619798</v>
      </c>
      <c r="AB11" s="357">
        <f t="shared" si="4"/>
        <v>345336.82287619798</v>
      </c>
      <c r="AC11" s="357">
        <f t="shared" si="4"/>
        <v>345336.82287619798</v>
      </c>
      <c r="AD11" s="357">
        <f t="shared" si="4"/>
        <v>345336.82287619798</v>
      </c>
      <c r="AE11" s="357">
        <f t="shared" si="4"/>
        <v>345336.82287619798</v>
      </c>
      <c r="AG11" s="2" t="s">
        <v>282</v>
      </c>
    </row>
    <row r="12" spans="1:33">
      <c r="A12" s="125"/>
      <c r="B12" s="310" t="s">
        <v>116</v>
      </c>
      <c r="C12" s="311" t="s">
        <v>114</v>
      </c>
      <c r="D12" s="312">
        <v>198515.09883839599</v>
      </c>
      <c r="E12" s="312">
        <v>202889.593797259</v>
      </c>
      <c r="F12" s="313">
        <f t="shared" si="1"/>
        <v>4374.4949588630116</v>
      </c>
      <c r="G12" s="314">
        <f t="shared" si="2"/>
        <v>1.022036081811712</v>
      </c>
      <c r="H12" s="315"/>
      <c r="I12" s="124">
        <v>215859.33936526999</v>
      </c>
      <c r="J12" s="124"/>
      <c r="K12" s="124"/>
      <c r="L12" s="124"/>
      <c r="M12" s="124"/>
      <c r="N12" s="124">
        <v>225088.511186724</v>
      </c>
      <c r="O12" s="124">
        <v>237816.30952191801</v>
      </c>
      <c r="P12" s="124">
        <v>248443.088122933</v>
      </c>
      <c r="Q12" s="357">
        <f t="shared" ref="Q12:AE12" si="5">$P$12</f>
        <v>248443.088122933</v>
      </c>
      <c r="R12" s="357">
        <f t="shared" si="5"/>
        <v>248443.088122933</v>
      </c>
      <c r="S12" s="357">
        <f t="shared" si="5"/>
        <v>248443.088122933</v>
      </c>
      <c r="T12" s="357">
        <f t="shared" si="5"/>
        <v>248443.088122933</v>
      </c>
      <c r="U12" s="357">
        <f t="shared" si="5"/>
        <v>248443.088122933</v>
      </c>
      <c r="V12" s="357">
        <f t="shared" si="5"/>
        <v>248443.088122933</v>
      </c>
      <c r="W12" s="357">
        <f t="shared" si="5"/>
        <v>248443.088122933</v>
      </c>
      <c r="X12" s="357">
        <f t="shared" si="5"/>
        <v>248443.088122933</v>
      </c>
      <c r="Y12" s="357">
        <f t="shared" si="5"/>
        <v>248443.088122933</v>
      </c>
      <c r="Z12" s="357">
        <f t="shared" si="5"/>
        <v>248443.088122933</v>
      </c>
      <c r="AA12" s="357">
        <f t="shared" si="5"/>
        <v>248443.088122933</v>
      </c>
      <c r="AB12" s="357">
        <f t="shared" si="5"/>
        <v>248443.088122933</v>
      </c>
      <c r="AC12" s="357">
        <f t="shared" si="5"/>
        <v>248443.088122933</v>
      </c>
      <c r="AD12" s="357">
        <f t="shared" si="5"/>
        <v>248443.088122933</v>
      </c>
      <c r="AE12" s="357">
        <f t="shared" si="5"/>
        <v>248443.088122933</v>
      </c>
      <c r="AG12" s="2" t="s">
        <v>282</v>
      </c>
    </row>
    <row r="13" spans="1:33" s="295" customFormat="1" ht="75">
      <c r="A13" s="303" t="s">
        <v>117</v>
      </c>
      <c r="B13" s="304" t="s">
        <v>118</v>
      </c>
      <c r="C13" s="305" t="s">
        <v>119</v>
      </c>
      <c r="D13" s="306">
        <f t="shared" ref="D13:I13" si="6">D14-D15</f>
        <v>6425.9269778112011</v>
      </c>
      <c r="E13" s="306">
        <f t="shared" si="6"/>
        <v>7379.9868098999978</v>
      </c>
      <c r="F13" s="307">
        <f t="shared" si="1"/>
        <v>954.05983208879661</v>
      </c>
      <c r="G13" s="308">
        <f t="shared" si="2"/>
        <v>1.1484703818426782</v>
      </c>
      <c r="H13" s="316"/>
      <c r="I13" s="348">
        <f t="shared" si="6"/>
        <v>6425.9269778112011</v>
      </c>
      <c r="J13" s="348"/>
      <c r="K13" s="348"/>
      <c r="L13" s="348"/>
      <c r="M13" s="316" t="s">
        <v>283</v>
      </c>
      <c r="N13" s="348">
        <f t="shared" ref="N13:AD13" si="7">N14-N15</f>
        <v>6425.9269778112011</v>
      </c>
      <c r="O13" s="348">
        <f t="shared" si="7"/>
        <v>6425.9269778112011</v>
      </c>
      <c r="P13" s="348">
        <f t="shared" si="7"/>
        <v>6425.9269778112011</v>
      </c>
      <c r="Q13" s="348">
        <f t="shared" si="7"/>
        <v>6563.9290577143001</v>
      </c>
      <c r="R13" s="348">
        <f t="shared" si="7"/>
        <v>6509.1113874286002</v>
      </c>
      <c r="S13" s="348">
        <f t="shared" si="7"/>
        <v>6454.2937171429003</v>
      </c>
      <c r="T13" s="348">
        <f t="shared" si="7"/>
        <v>6399.4760468571003</v>
      </c>
      <c r="U13" s="348">
        <f t="shared" si="7"/>
        <v>6344.6583765714004</v>
      </c>
      <c r="V13" s="348">
        <f t="shared" si="7"/>
        <v>6289.8407062857004</v>
      </c>
      <c r="W13" s="348">
        <f t="shared" si="7"/>
        <v>6235.0230360000005</v>
      </c>
      <c r="X13" s="348">
        <f t="shared" si="7"/>
        <v>6180.2053657143006</v>
      </c>
      <c r="Y13" s="348">
        <f t="shared" si="7"/>
        <v>6125.3876954286006</v>
      </c>
      <c r="Z13" s="348">
        <f t="shared" si="7"/>
        <v>6070.5700251429007</v>
      </c>
      <c r="AA13" s="348">
        <f t="shared" si="7"/>
        <v>6015.7523548571007</v>
      </c>
      <c r="AB13" s="348">
        <f t="shared" si="7"/>
        <v>5960.9346845714008</v>
      </c>
      <c r="AC13" s="348">
        <f t="shared" si="7"/>
        <v>5906.1170142857009</v>
      </c>
      <c r="AD13" s="348">
        <f t="shared" si="7"/>
        <v>5851.2993440000009</v>
      </c>
      <c r="AE13" s="348">
        <f>AD13</f>
        <v>5851.2993440000009</v>
      </c>
    </row>
    <row r="14" spans="1:33" ht="105">
      <c r="A14" s="317" t="s">
        <v>30</v>
      </c>
      <c r="B14" s="318" t="s">
        <v>120</v>
      </c>
      <c r="C14" s="319" t="s">
        <v>119</v>
      </c>
      <c r="D14" s="312">
        <v>18908.866977811202</v>
      </c>
      <c r="E14" s="312">
        <v>19434.206999999999</v>
      </c>
      <c r="F14" s="313">
        <f t="shared" si="1"/>
        <v>525.34002218879687</v>
      </c>
      <c r="G14" s="314">
        <f t="shared" si="2"/>
        <v>1.0277827340371721</v>
      </c>
      <c r="H14" s="320"/>
      <c r="I14" s="124">
        <v>18908.866977811202</v>
      </c>
      <c r="J14" s="124"/>
      <c r="K14" s="124"/>
      <c r="L14" s="124"/>
      <c r="M14" s="320" t="s">
        <v>284</v>
      </c>
      <c r="N14" s="124">
        <v>18908.866977811202</v>
      </c>
      <c r="O14" s="124">
        <v>18908.866977811202</v>
      </c>
      <c r="P14" s="124">
        <v>18908.866977811202</v>
      </c>
      <c r="Q14" s="357">
        <v>19478.36</v>
      </c>
      <c r="R14" s="357">
        <v>19478.36</v>
      </c>
      <c r="S14" s="357">
        <v>19478.36</v>
      </c>
      <c r="T14" s="357">
        <v>19478.36</v>
      </c>
      <c r="U14" s="357">
        <v>19478.36</v>
      </c>
      <c r="V14" s="357">
        <v>19478.36</v>
      </c>
      <c r="W14" s="357">
        <v>19478.36</v>
      </c>
      <c r="X14" s="357">
        <v>19478.36</v>
      </c>
      <c r="Y14" s="357">
        <v>19478.36</v>
      </c>
      <c r="Z14" s="357">
        <v>19478.36</v>
      </c>
      <c r="AA14" s="357">
        <v>19478.36</v>
      </c>
      <c r="AB14" s="357">
        <v>19478.36</v>
      </c>
      <c r="AC14" s="357">
        <v>19478.36</v>
      </c>
      <c r="AD14" s="357">
        <v>19478.36</v>
      </c>
      <c r="AE14" s="357">
        <v>19478.36</v>
      </c>
      <c r="AG14" s="2" t="s">
        <v>285</v>
      </c>
    </row>
    <row r="15" spans="1:33" ht="135">
      <c r="A15" s="317" t="s">
        <v>121</v>
      </c>
      <c r="B15" s="318" t="s">
        <v>122</v>
      </c>
      <c r="C15" s="319" t="s">
        <v>119</v>
      </c>
      <c r="D15" s="312">
        <v>12482.94</v>
      </c>
      <c r="E15" s="312">
        <v>12054.220190100001</v>
      </c>
      <c r="F15" s="313">
        <f t="shared" si="1"/>
        <v>-428.71980989999975</v>
      </c>
      <c r="G15" s="314">
        <f t="shared" si="2"/>
        <v>0.96565554189157365</v>
      </c>
      <c r="H15" s="321"/>
      <c r="I15" s="124">
        <v>12482.94</v>
      </c>
      <c r="J15" s="124"/>
      <c r="K15" s="124"/>
      <c r="L15" s="124"/>
      <c r="M15" s="321" t="s">
        <v>286</v>
      </c>
      <c r="N15" s="124">
        <v>12482.94</v>
      </c>
      <c r="O15" s="124">
        <v>12482.94</v>
      </c>
      <c r="P15" s="124">
        <v>12482.94</v>
      </c>
      <c r="Q15" s="357">
        <v>12914.4309422857</v>
      </c>
      <c r="R15" s="357">
        <v>12969.2486125714</v>
      </c>
      <c r="S15" s="357">
        <v>13024.0662828571</v>
      </c>
      <c r="T15" s="357">
        <v>13078.8839531429</v>
      </c>
      <c r="U15" s="357">
        <v>13133.7016234286</v>
      </c>
      <c r="V15" s="357">
        <v>13188.5192937143</v>
      </c>
      <c r="W15" s="357">
        <v>13243.336964</v>
      </c>
      <c r="X15" s="357">
        <v>13298.1546342857</v>
      </c>
      <c r="Y15" s="357">
        <v>13352.9723045714</v>
      </c>
      <c r="Z15" s="357">
        <v>13407.7899748571</v>
      </c>
      <c r="AA15" s="357">
        <v>13462.6076451429</v>
      </c>
      <c r="AB15" s="357">
        <v>13517.4253154286</v>
      </c>
      <c r="AC15" s="357">
        <v>13572.2429857143</v>
      </c>
      <c r="AD15" s="357">
        <v>13627.060656</v>
      </c>
      <c r="AE15" s="357">
        <v>13627.060656</v>
      </c>
      <c r="AG15" s="2" t="s">
        <v>285</v>
      </c>
    </row>
    <row r="16" spans="1:33" ht="75">
      <c r="A16" s="317" t="s">
        <v>123</v>
      </c>
      <c r="B16" s="318" t="s">
        <v>124</v>
      </c>
      <c r="C16" s="319" t="s">
        <v>16</v>
      </c>
      <c r="D16" s="322">
        <f>D13/D14*100</f>
        <v>33.983670123396443</v>
      </c>
      <c r="E16" s="322">
        <f>E13/E14*100</f>
        <v>37.974211193181169</v>
      </c>
      <c r="F16" s="322">
        <f t="shared" si="1"/>
        <v>3.9905410697847259</v>
      </c>
      <c r="G16" s="314">
        <f t="shared" si="2"/>
        <v>1.1174252532258837</v>
      </c>
      <c r="H16" s="316"/>
      <c r="I16" s="349">
        <f>I13/I14</f>
        <v>0.33983670123396442</v>
      </c>
      <c r="J16" s="349"/>
      <c r="K16" s="349"/>
      <c r="L16" s="349"/>
      <c r="M16" s="316" t="s">
        <v>287</v>
      </c>
      <c r="N16" s="349">
        <f t="shared" ref="N16:AD16" si="8">N13/N14</f>
        <v>0.33983670123396442</v>
      </c>
      <c r="O16" s="349">
        <f t="shared" si="8"/>
        <v>0.33983670123396442</v>
      </c>
      <c r="P16" s="349">
        <f t="shared" si="8"/>
        <v>0.33983670123396442</v>
      </c>
      <c r="Q16" s="349">
        <f t="shared" si="8"/>
        <v>0.336985714285715</v>
      </c>
      <c r="R16" s="349">
        <f t="shared" si="8"/>
        <v>0.33417142857143006</v>
      </c>
      <c r="S16" s="349">
        <f t="shared" si="8"/>
        <v>0.33135714285714507</v>
      </c>
      <c r="T16" s="349">
        <f t="shared" si="8"/>
        <v>0.32854285714285497</v>
      </c>
      <c r="U16" s="349">
        <f t="shared" si="8"/>
        <v>0.32572857142856998</v>
      </c>
      <c r="V16" s="349">
        <f t="shared" si="8"/>
        <v>0.32291428571428499</v>
      </c>
      <c r="W16" s="349">
        <f t="shared" si="8"/>
        <v>0.3201</v>
      </c>
      <c r="X16" s="349">
        <f t="shared" si="8"/>
        <v>0.31728571428571506</v>
      </c>
      <c r="Y16" s="349">
        <f t="shared" si="8"/>
        <v>0.31447142857143007</v>
      </c>
      <c r="Z16" s="349">
        <f t="shared" si="8"/>
        <v>0.31165714285714508</v>
      </c>
      <c r="AA16" s="349">
        <f t="shared" si="8"/>
        <v>0.30884285714285498</v>
      </c>
      <c r="AB16" s="349">
        <f t="shared" si="8"/>
        <v>0.30602857142856998</v>
      </c>
      <c r="AC16" s="349">
        <f t="shared" si="8"/>
        <v>0.30321428571428499</v>
      </c>
      <c r="AD16" s="349">
        <f t="shared" si="8"/>
        <v>0.30040000000000006</v>
      </c>
      <c r="AE16" s="349">
        <f>AD16</f>
        <v>0.30040000000000006</v>
      </c>
    </row>
    <row r="17" spans="1:33" s="295" customFormat="1" ht="30">
      <c r="A17" s="303" t="s">
        <v>125</v>
      </c>
      <c r="B17" s="304" t="s">
        <v>126</v>
      </c>
      <c r="C17" s="305" t="s">
        <v>127</v>
      </c>
      <c r="D17" s="306"/>
      <c r="E17" s="306"/>
      <c r="F17" s="307"/>
      <c r="G17" s="308"/>
      <c r="H17" s="323"/>
      <c r="I17" s="348"/>
      <c r="J17" s="348"/>
      <c r="K17" s="348"/>
      <c r="L17" s="348"/>
      <c r="M17" s="323" t="s">
        <v>288</v>
      </c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</row>
    <row r="18" spans="1:33">
      <c r="A18" s="317" t="s">
        <v>41</v>
      </c>
      <c r="B18" s="310" t="s">
        <v>115</v>
      </c>
      <c r="C18" s="319" t="s">
        <v>127</v>
      </c>
      <c r="D18" s="324" t="e">
        <f>D21/D24*100</f>
        <v>#REF!</v>
      </c>
      <c r="E18" s="324" t="e">
        <f>E21/E24*100</f>
        <v>#REF!</v>
      </c>
      <c r="F18" s="313" t="e">
        <f t="shared" ref="F18:F55" si="9">E18-D18</f>
        <v>#REF!</v>
      </c>
      <c r="G18" s="314" t="e">
        <f t="shared" ref="G18:G46" si="10">E18/D18</f>
        <v>#REF!</v>
      </c>
      <c r="H18" s="309"/>
      <c r="I18" s="348">
        <f>I21/I24</f>
        <v>0.52180110097433641</v>
      </c>
      <c r="J18" s="348"/>
      <c r="K18" s="348"/>
      <c r="L18" s="348"/>
      <c r="M18" s="348"/>
      <c r="N18" s="348">
        <f t="shared" ref="N18:AD18" si="11">N21/N24</f>
        <v>0.52180110097433641</v>
      </c>
      <c r="O18" s="348">
        <f t="shared" si="11"/>
        <v>0.52180110097433641</v>
      </c>
      <c r="P18" s="348">
        <f t="shared" si="11"/>
        <v>0.52180110097433641</v>
      </c>
      <c r="Q18" s="348">
        <f t="shared" si="11"/>
        <v>0.52180110097433641</v>
      </c>
      <c r="R18" s="348">
        <f t="shared" si="11"/>
        <v>0.52180110097433641</v>
      </c>
      <c r="S18" s="348">
        <f t="shared" si="11"/>
        <v>0.52180110097433641</v>
      </c>
      <c r="T18" s="348">
        <f t="shared" si="11"/>
        <v>0.52180110097433641</v>
      </c>
      <c r="U18" s="348">
        <f t="shared" si="11"/>
        <v>0.52180110097433641</v>
      </c>
      <c r="V18" s="348">
        <f t="shared" si="11"/>
        <v>0.52180110097433641</v>
      </c>
      <c r="W18" s="348">
        <f t="shared" si="11"/>
        <v>0.52180110097433641</v>
      </c>
      <c r="X18" s="348">
        <f t="shared" si="11"/>
        <v>0.52180110097433641</v>
      </c>
      <c r="Y18" s="348">
        <f t="shared" si="11"/>
        <v>0.52180110097433641</v>
      </c>
      <c r="Z18" s="348">
        <f t="shared" si="11"/>
        <v>0.52180110097433641</v>
      </c>
      <c r="AA18" s="348">
        <f t="shared" si="11"/>
        <v>0.52180110097433641</v>
      </c>
      <c r="AB18" s="348">
        <f t="shared" si="11"/>
        <v>0.52180110097433641</v>
      </c>
      <c r="AC18" s="348">
        <f t="shared" si="11"/>
        <v>0.52180110097433641</v>
      </c>
      <c r="AD18" s="348">
        <f t="shared" si="11"/>
        <v>0.52180110097433641</v>
      </c>
      <c r="AE18" s="348">
        <f t="shared" ref="AE18:AE23" si="12">AD18</f>
        <v>0.52180110097433641</v>
      </c>
    </row>
    <row r="19" spans="1:33">
      <c r="A19" s="317" t="s">
        <v>48</v>
      </c>
      <c r="B19" s="310" t="s">
        <v>116</v>
      </c>
      <c r="C19" s="319" t="s">
        <v>127</v>
      </c>
      <c r="D19" s="324" t="e">
        <f>D22/D25*100</f>
        <v>#REF!</v>
      </c>
      <c r="E19" s="324" t="e">
        <f>E22/E25*100</f>
        <v>#REF!</v>
      </c>
      <c r="F19" s="313" t="e">
        <f t="shared" si="9"/>
        <v>#REF!</v>
      </c>
      <c r="G19" s="314" t="e">
        <f t="shared" si="10"/>
        <v>#REF!</v>
      </c>
      <c r="H19" s="309"/>
      <c r="I19" s="348">
        <f>I22/I25</f>
        <v>0.95880826349066306</v>
      </c>
      <c r="J19" s="348"/>
      <c r="K19" s="348"/>
      <c r="L19" s="348"/>
      <c r="M19" s="348"/>
      <c r="N19" s="348">
        <f t="shared" ref="N19:AD19" si="13">N22/N25</f>
        <v>0.95880826349066306</v>
      </c>
      <c r="O19" s="348">
        <f t="shared" si="13"/>
        <v>0.95880826349066306</v>
      </c>
      <c r="P19" s="348">
        <f t="shared" si="13"/>
        <v>0.95880826349066306</v>
      </c>
      <c r="Q19" s="348">
        <f t="shared" si="13"/>
        <v>0.95880826349066306</v>
      </c>
      <c r="R19" s="348">
        <f t="shared" si="13"/>
        <v>0.95880826349066306</v>
      </c>
      <c r="S19" s="348">
        <f t="shared" si="13"/>
        <v>0.95880826349066306</v>
      </c>
      <c r="T19" s="348">
        <f t="shared" si="13"/>
        <v>0.95880826349066306</v>
      </c>
      <c r="U19" s="348">
        <f t="shared" si="13"/>
        <v>0.95880826349066306</v>
      </c>
      <c r="V19" s="348">
        <f t="shared" si="13"/>
        <v>0.95880826349066306</v>
      </c>
      <c r="W19" s="348">
        <f t="shared" si="13"/>
        <v>0.95880826349066306</v>
      </c>
      <c r="X19" s="348">
        <f t="shared" si="13"/>
        <v>0.95880826349066306</v>
      </c>
      <c r="Y19" s="348">
        <f t="shared" si="13"/>
        <v>0.95880826349066306</v>
      </c>
      <c r="Z19" s="348">
        <f t="shared" si="13"/>
        <v>0.95880826349066306</v>
      </c>
      <c r="AA19" s="348">
        <f t="shared" si="13"/>
        <v>0.95880826349066306</v>
      </c>
      <c r="AB19" s="348">
        <f t="shared" si="13"/>
        <v>0.95880826349066306</v>
      </c>
      <c r="AC19" s="348">
        <f t="shared" si="13"/>
        <v>0.95880826349066306</v>
      </c>
      <c r="AD19" s="348">
        <f t="shared" si="13"/>
        <v>0.95880826349066306</v>
      </c>
      <c r="AE19" s="348">
        <f t="shared" si="12"/>
        <v>0.95880826349066306</v>
      </c>
    </row>
    <row r="20" spans="1:33">
      <c r="A20" s="317" t="s">
        <v>54</v>
      </c>
      <c r="B20" s="318" t="s">
        <v>128</v>
      </c>
      <c r="C20" s="319" t="s">
        <v>129</v>
      </c>
      <c r="D20" s="306">
        <f t="shared" ref="D20:I20" si="14">D21+D22</f>
        <v>462.73469999999998</v>
      </c>
      <c r="E20" s="306">
        <f t="shared" si="14"/>
        <v>335.16102635431031</v>
      </c>
      <c r="F20" s="313">
        <f t="shared" si="9"/>
        <v>-127.57367364568967</v>
      </c>
      <c r="G20" s="314">
        <f t="shared" si="10"/>
        <v>0.7243049340244212</v>
      </c>
      <c r="H20" s="309"/>
      <c r="I20" s="348">
        <f t="shared" si="14"/>
        <v>462.73469999999998</v>
      </c>
      <c r="J20" s="348"/>
      <c r="K20" s="348"/>
      <c r="L20" s="348"/>
      <c r="M20" s="348"/>
      <c r="N20" s="348">
        <f t="shared" ref="N20:AD20" si="15">N21+N22</f>
        <v>462.73469999999998</v>
      </c>
      <c r="O20" s="348">
        <f t="shared" si="15"/>
        <v>462.73469999999998</v>
      </c>
      <c r="P20" s="348">
        <f t="shared" si="15"/>
        <v>462.73469999999998</v>
      </c>
      <c r="Q20" s="348">
        <f t="shared" si="15"/>
        <v>462.73469999999998</v>
      </c>
      <c r="R20" s="348">
        <f t="shared" si="15"/>
        <v>462.73469999999998</v>
      </c>
      <c r="S20" s="348">
        <f t="shared" si="15"/>
        <v>462.73469999999998</v>
      </c>
      <c r="T20" s="348">
        <f t="shared" si="15"/>
        <v>462.73469999999998</v>
      </c>
      <c r="U20" s="348">
        <f t="shared" si="15"/>
        <v>462.73469999999998</v>
      </c>
      <c r="V20" s="348">
        <f t="shared" si="15"/>
        <v>462.73469999999998</v>
      </c>
      <c r="W20" s="348">
        <f t="shared" si="15"/>
        <v>462.73469999999998</v>
      </c>
      <c r="X20" s="348">
        <f t="shared" si="15"/>
        <v>462.73469999999998</v>
      </c>
      <c r="Y20" s="348">
        <f t="shared" si="15"/>
        <v>462.73469999999998</v>
      </c>
      <c r="Z20" s="348">
        <f t="shared" si="15"/>
        <v>462.73469999999998</v>
      </c>
      <c r="AA20" s="348">
        <f t="shared" si="15"/>
        <v>462.73469999999998</v>
      </c>
      <c r="AB20" s="348">
        <f t="shared" si="15"/>
        <v>462.73469999999998</v>
      </c>
      <c r="AC20" s="348">
        <f t="shared" si="15"/>
        <v>462.73469999999998</v>
      </c>
      <c r="AD20" s="348">
        <f t="shared" si="15"/>
        <v>462.73469999999998</v>
      </c>
      <c r="AE20" s="348">
        <f t="shared" si="12"/>
        <v>462.73469999999998</v>
      </c>
    </row>
    <row r="21" spans="1:33">
      <c r="A21" s="317" t="s">
        <v>130</v>
      </c>
      <c r="B21" s="310" t="s">
        <v>115</v>
      </c>
      <c r="C21" s="319" t="s">
        <v>129</v>
      </c>
      <c r="D21" s="325">
        <f t="shared" ref="D21:I21" si="16">D36+D39</f>
        <v>201.90049999999999</v>
      </c>
      <c r="E21" s="325">
        <f t="shared" si="16"/>
        <v>141.79201483761102</v>
      </c>
      <c r="F21" s="313">
        <f t="shared" si="9"/>
        <v>-60.108485162388973</v>
      </c>
      <c r="G21" s="314">
        <f t="shared" si="10"/>
        <v>0.70228659581135766</v>
      </c>
      <c r="H21" s="326"/>
      <c r="I21" s="346">
        <f t="shared" si="16"/>
        <v>201.90049999999999</v>
      </c>
      <c r="J21" s="346"/>
      <c r="K21" s="346"/>
      <c r="L21" s="346"/>
      <c r="M21" s="346"/>
      <c r="N21" s="346">
        <f t="shared" ref="N21:AD21" si="17">N36+N39</f>
        <v>201.90049999999999</v>
      </c>
      <c r="O21" s="346">
        <f t="shared" si="17"/>
        <v>201.90049999999999</v>
      </c>
      <c r="P21" s="346">
        <f t="shared" si="17"/>
        <v>201.90049999999999</v>
      </c>
      <c r="Q21" s="346">
        <f t="shared" si="17"/>
        <v>201.90049999999999</v>
      </c>
      <c r="R21" s="346">
        <f t="shared" si="17"/>
        <v>201.90049999999999</v>
      </c>
      <c r="S21" s="346">
        <f t="shared" si="17"/>
        <v>201.90049999999999</v>
      </c>
      <c r="T21" s="346">
        <f t="shared" si="17"/>
        <v>201.90049999999999</v>
      </c>
      <c r="U21" s="346">
        <f t="shared" si="17"/>
        <v>201.90049999999999</v>
      </c>
      <c r="V21" s="346">
        <f t="shared" si="17"/>
        <v>201.90049999999999</v>
      </c>
      <c r="W21" s="346">
        <f t="shared" si="17"/>
        <v>201.90049999999999</v>
      </c>
      <c r="X21" s="346">
        <f t="shared" si="17"/>
        <v>201.90049999999999</v>
      </c>
      <c r="Y21" s="346">
        <f t="shared" si="17"/>
        <v>201.90049999999999</v>
      </c>
      <c r="Z21" s="346">
        <f t="shared" si="17"/>
        <v>201.90049999999999</v>
      </c>
      <c r="AA21" s="346">
        <f t="shared" si="17"/>
        <v>201.90049999999999</v>
      </c>
      <c r="AB21" s="346">
        <f t="shared" si="17"/>
        <v>201.90049999999999</v>
      </c>
      <c r="AC21" s="346">
        <f t="shared" si="17"/>
        <v>201.90049999999999</v>
      </c>
      <c r="AD21" s="346">
        <f t="shared" si="17"/>
        <v>201.90049999999999</v>
      </c>
      <c r="AE21" s="346">
        <f t="shared" si="12"/>
        <v>201.90049999999999</v>
      </c>
    </row>
    <row r="22" spans="1:33">
      <c r="A22" s="317" t="s">
        <v>131</v>
      </c>
      <c r="B22" s="310" t="s">
        <v>116</v>
      </c>
      <c r="C22" s="319" t="s">
        <v>129</v>
      </c>
      <c r="D22" s="325">
        <f t="shared" ref="D22:I22" si="18">D37+D40</f>
        <v>260.83420000000001</v>
      </c>
      <c r="E22" s="325">
        <f t="shared" si="18"/>
        <v>193.36901151669929</v>
      </c>
      <c r="F22" s="313">
        <f t="shared" si="9"/>
        <v>-67.465188483300722</v>
      </c>
      <c r="G22" s="314">
        <f t="shared" si="10"/>
        <v>0.74134837960934297</v>
      </c>
      <c r="H22" s="326"/>
      <c r="I22" s="346">
        <f t="shared" si="18"/>
        <v>260.83420000000001</v>
      </c>
      <c r="J22" s="346"/>
      <c r="K22" s="346"/>
      <c r="L22" s="346"/>
      <c r="M22" s="346"/>
      <c r="N22" s="346">
        <f t="shared" ref="N22:AD22" si="19">N37+N40</f>
        <v>260.83420000000001</v>
      </c>
      <c r="O22" s="346">
        <f t="shared" si="19"/>
        <v>260.83420000000001</v>
      </c>
      <c r="P22" s="346">
        <f t="shared" si="19"/>
        <v>260.83420000000001</v>
      </c>
      <c r="Q22" s="346">
        <f t="shared" si="19"/>
        <v>260.83420000000001</v>
      </c>
      <c r="R22" s="346">
        <f t="shared" si="19"/>
        <v>260.83420000000001</v>
      </c>
      <c r="S22" s="346">
        <f t="shared" si="19"/>
        <v>260.83420000000001</v>
      </c>
      <c r="T22" s="346">
        <f t="shared" si="19"/>
        <v>260.83420000000001</v>
      </c>
      <c r="U22" s="346">
        <f t="shared" si="19"/>
        <v>260.83420000000001</v>
      </c>
      <c r="V22" s="346">
        <f t="shared" si="19"/>
        <v>260.83420000000001</v>
      </c>
      <c r="W22" s="346">
        <f t="shared" si="19"/>
        <v>260.83420000000001</v>
      </c>
      <c r="X22" s="346">
        <f t="shared" si="19"/>
        <v>260.83420000000001</v>
      </c>
      <c r="Y22" s="346">
        <f t="shared" si="19"/>
        <v>260.83420000000001</v>
      </c>
      <c r="Z22" s="346">
        <f t="shared" si="19"/>
        <v>260.83420000000001</v>
      </c>
      <c r="AA22" s="346">
        <f t="shared" si="19"/>
        <v>260.83420000000001</v>
      </c>
      <c r="AB22" s="346">
        <f t="shared" si="19"/>
        <v>260.83420000000001</v>
      </c>
      <c r="AC22" s="346">
        <f t="shared" si="19"/>
        <v>260.83420000000001</v>
      </c>
      <c r="AD22" s="346">
        <f t="shared" si="19"/>
        <v>260.83420000000001</v>
      </c>
      <c r="AE22" s="346">
        <f t="shared" si="12"/>
        <v>260.83420000000001</v>
      </c>
    </row>
    <row r="23" spans="1:33" ht="30">
      <c r="A23" s="317" t="s">
        <v>60</v>
      </c>
      <c r="B23" s="318" t="s">
        <v>132</v>
      </c>
      <c r="C23" s="319" t="s">
        <v>133</v>
      </c>
      <c r="D23" s="306" t="e">
        <f t="shared" ref="D23:I23" si="20">D24+D25</f>
        <v>#REF!</v>
      </c>
      <c r="E23" s="306" t="e">
        <f t="shared" si="20"/>
        <v>#REF!</v>
      </c>
      <c r="F23" s="313" t="e">
        <f t="shared" si="9"/>
        <v>#REF!</v>
      </c>
      <c r="G23" s="314" t="e">
        <f t="shared" si="10"/>
        <v>#REF!</v>
      </c>
      <c r="H23" s="309"/>
      <c r="I23" s="348">
        <f t="shared" si="20"/>
        <v>658.97</v>
      </c>
      <c r="J23" s="348"/>
      <c r="K23" s="348"/>
      <c r="L23" s="348"/>
      <c r="M23" s="348"/>
      <c r="N23" s="348">
        <f t="shared" ref="N23:AD23" si="21">N24+N25</f>
        <v>658.97</v>
      </c>
      <c r="O23" s="348">
        <f t="shared" si="21"/>
        <v>658.97</v>
      </c>
      <c r="P23" s="348">
        <f t="shared" si="21"/>
        <v>658.97</v>
      </c>
      <c r="Q23" s="348">
        <f t="shared" si="21"/>
        <v>658.97</v>
      </c>
      <c r="R23" s="348">
        <f t="shared" si="21"/>
        <v>658.97</v>
      </c>
      <c r="S23" s="348">
        <f t="shared" si="21"/>
        <v>658.97</v>
      </c>
      <c r="T23" s="348">
        <f t="shared" si="21"/>
        <v>658.97</v>
      </c>
      <c r="U23" s="348">
        <f t="shared" si="21"/>
        <v>658.97</v>
      </c>
      <c r="V23" s="348">
        <f t="shared" si="21"/>
        <v>658.97</v>
      </c>
      <c r="W23" s="348">
        <f t="shared" si="21"/>
        <v>658.97</v>
      </c>
      <c r="X23" s="348">
        <f t="shared" si="21"/>
        <v>658.97</v>
      </c>
      <c r="Y23" s="348">
        <f t="shared" si="21"/>
        <v>658.97</v>
      </c>
      <c r="Z23" s="348">
        <f t="shared" si="21"/>
        <v>658.97</v>
      </c>
      <c r="AA23" s="348">
        <f t="shared" si="21"/>
        <v>658.97</v>
      </c>
      <c r="AB23" s="348">
        <f t="shared" si="21"/>
        <v>658.97</v>
      </c>
      <c r="AC23" s="348">
        <f t="shared" si="21"/>
        <v>658.97</v>
      </c>
      <c r="AD23" s="348">
        <f t="shared" si="21"/>
        <v>658.97</v>
      </c>
      <c r="AE23" s="348">
        <f t="shared" si="12"/>
        <v>658.97</v>
      </c>
    </row>
    <row r="24" spans="1:33">
      <c r="A24" s="317" t="s">
        <v>134</v>
      </c>
      <c r="B24" s="310" t="s">
        <v>115</v>
      </c>
      <c r="C24" s="319" t="s">
        <v>133</v>
      </c>
      <c r="D24" s="327" t="e">
        <f>'Прил 3(5)'!#REF!</f>
        <v>#REF!</v>
      </c>
      <c r="E24" s="327" t="e">
        <f>'Прил 3(5)'!#REF!</f>
        <v>#REF!</v>
      </c>
      <c r="F24" s="313" t="e">
        <f t="shared" si="9"/>
        <v>#REF!</v>
      </c>
      <c r="G24" s="314" t="e">
        <f t="shared" si="10"/>
        <v>#REF!</v>
      </c>
      <c r="H24" s="326"/>
      <c r="I24" s="346">
        <v>386.93</v>
      </c>
      <c r="J24" s="346"/>
      <c r="K24" s="346"/>
      <c r="L24" s="346"/>
      <c r="M24" s="346"/>
      <c r="N24" s="346">
        <v>386.93</v>
      </c>
      <c r="O24" s="346">
        <v>386.93</v>
      </c>
      <c r="P24" s="346">
        <v>386.93</v>
      </c>
      <c r="Q24" s="346">
        <v>386.93</v>
      </c>
      <c r="R24" s="346">
        <v>386.93</v>
      </c>
      <c r="S24" s="346">
        <v>386.93</v>
      </c>
      <c r="T24" s="346">
        <v>386.93</v>
      </c>
      <c r="U24" s="346">
        <v>386.93</v>
      </c>
      <c r="V24" s="346">
        <v>386.93</v>
      </c>
      <c r="W24" s="346">
        <v>386.93</v>
      </c>
      <c r="X24" s="346">
        <v>386.93</v>
      </c>
      <c r="Y24" s="346">
        <v>386.93</v>
      </c>
      <c r="Z24" s="346">
        <v>386.93</v>
      </c>
      <c r="AA24" s="346">
        <v>386.93</v>
      </c>
      <c r="AB24" s="346">
        <v>386.93</v>
      </c>
      <c r="AC24" s="346">
        <v>386.93</v>
      </c>
      <c r="AD24" s="346">
        <v>386.93</v>
      </c>
      <c r="AE24" s="346">
        <v>386.93</v>
      </c>
      <c r="AG24" s="2" t="s">
        <v>289</v>
      </c>
    </row>
    <row r="25" spans="1:33">
      <c r="A25" s="317" t="s">
        <v>135</v>
      </c>
      <c r="B25" s="310" t="s">
        <v>116</v>
      </c>
      <c r="C25" s="319" t="s">
        <v>133</v>
      </c>
      <c r="D25" s="327" t="e">
        <f>'Прил 3(5)'!#REF!</f>
        <v>#REF!</v>
      </c>
      <c r="E25" s="327" t="e">
        <f>'Прил 3(5)'!#REF!</f>
        <v>#REF!</v>
      </c>
      <c r="F25" s="313" t="e">
        <f t="shared" si="9"/>
        <v>#REF!</v>
      </c>
      <c r="G25" s="314" t="e">
        <f t="shared" si="10"/>
        <v>#REF!</v>
      </c>
      <c r="H25" s="326"/>
      <c r="I25" s="346">
        <v>272.04000000000002</v>
      </c>
      <c r="J25" s="346"/>
      <c r="K25" s="346"/>
      <c r="L25" s="346"/>
      <c r="M25" s="346"/>
      <c r="N25" s="346">
        <v>272.04000000000002</v>
      </c>
      <c r="O25" s="346">
        <v>272.04000000000002</v>
      </c>
      <c r="P25" s="346">
        <v>272.04000000000002</v>
      </c>
      <c r="Q25" s="346">
        <v>272.04000000000002</v>
      </c>
      <c r="R25" s="346">
        <v>272.04000000000002</v>
      </c>
      <c r="S25" s="346">
        <v>272.04000000000002</v>
      </c>
      <c r="T25" s="346">
        <v>272.04000000000002</v>
      </c>
      <c r="U25" s="346">
        <v>272.04000000000002</v>
      </c>
      <c r="V25" s="346">
        <v>272.04000000000002</v>
      </c>
      <c r="W25" s="346">
        <v>272.04000000000002</v>
      </c>
      <c r="X25" s="346">
        <v>272.04000000000002</v>
      </c>
      <c r="Y25" s="346">
        <v>272.04000000000002</v>
      </c>
      <c r="Z25" s="346">
        <v>272.04000000000002</v>
      </c>
      <c r="AA25" s="346">
        <v>272.04000000000002</v>
      </c>
      <c r="AB25" s="346">
        <v>272.04000000000002</v>
      </c>
      <c r="AC25" s="346">
        <v>272.04000000000002</v>
      </c>
      <c r="AD25" s="346">
        <v>272.04000000000002</v>
      </c>
      <c r="AE25" s="346">
        <v>272.04000000000002</v>
      </c>
      <c r="AG25" s="2" t="s">
        <v>289</v>
      </c>
    </row>
    <row r="26" spans="1:33" s="295" customFormat="1" ht="14.25">
      <c r="A26" s="303" t="s">
        <v>136</v>
      </c>
      <c r="B26" s="304" t="s">
        <v>137</v>
      </c>
      <c r="C26" s="305" t="s">
        <v>138</v>
      </c>
      <c r="D26" s="306">
        <f t="shared" ref="D26:I26" si="22">D27+D28</f>
        <v>160.27432678416938</v>
      </c>
      <c r="E26" s="306">
        <f t="shared" si="22"/>
        <v>228.51533544369676</v>
      </c>
      <c r="F26" s="307">
        <f t="shared" si="9"/>
        <v>68.241008659527381</v>
      </c>
      <c r="G26" s="308">
        <f t="shared" si="10"/>
        <v>1.4257762926149922</v>
      </c>
      <c r="H26" s="309"/>
      <c r="I26" s="348">
        <f t="shared" si="22"/>
        <v>160.27432678416938</v>
      </c>
      <c r="J26" s="348"/>
      <c r="K26" s="348"/>
      <c r="L26" s="348"/>
      <c r="M26" s="348"/>
      <c r="N26" s="348">
        <f t="shared" ref="N26:AD26" si="23">N27+N28</f>
        <v>160.27432678416938</v>
      </c>
      <c r="O26" s="348">
        <f t="shared" si="23"/>
        <v>160.27432678416938</v>
      </c>
      <c r="P26" s="348">
        <f t="shared" si="23"/>
        <v>160.27432678416938</v>
      </c>
      <c r="Q26" s="348">
        <f t="shared" si="23"/>
        <v>166.83748301095221</v>
      </c>
      <c r="R26" s="348">
        <f t="shared" si="23"/>
        <v>166.83748301095221</v>
      </c>
      <c r="S26" s="348">
        <f t="shared" si="23"/>
        <v>166.83748301095221</v>
      </c>
      <c r="T26" s="348">
        <f t="shared" si="23"/>
        <v>166.83748301095221</v>
      </c>
      <c r="U26" s="348">
        <f t="shared" si="23"/>
        <v>166.83748301095221</v>
      </c>
      <c r="V26" s="348">
        <f t="shared" si="23"/>
        <v>166.83748301095221</v>
      </c>
      <c r="W26" s="348">
        <f t="shared" si="23"/>
        <v>166.83748301095221</v>
      </c>
      <c r="X26" s="348">
        <f t="shared" si="23"/>
        <v>166.83748301095221</v>
      </c>
      <c r="Y26" s="348">
        <f t="shared" si="23"/>
        <v>166.83748301095221</v>
      </c>
      <c r="Z26" s="348">
        <f t="shared" si="23"/>
        <v>166.83748301095221</v>
      </c>
      <c r="AA26" s="348">
        <f t="shared" si="23"/>
        <v>166.83748301095221</v>
      </c>
      <c r="AB26" s="348">
        <f t="shared" si="23"/>
        <v>166.83748301095221</v>
      </c>
      <c r="AC26" s="348">
        <f t="shared" si="23"/>
        <v>166.83748301095221</v>
      </c>
      <c r="AD26" s="348">
        <f t="shared" si="23"/>
        <v>166.83748301095221</v>
      </c>
      <c r="AE26" s="348">
        <f t="shared" ref="AE26:AE32" si="24">AD26</f>
        <v>166.83748301095221</v>
      </c>
    </row>
    <row r="27" spans="1:33">
      <c r="A27" s="317" t="s">
        <v>66</v>
      </c>
      <c r="B27" s="310" t="s">
        <v>115</v>
      </c>
      <c r="C27" s="319" t="s">
        <v>138</v>
      </c>
      <c r="D27" s="328">
        <f t="shared" ref="D27:I27" si="25">D32/D30</f>
        <v>93.65438410410674</v>
      </c>
      <c r="E27" s="328">
        <f t="shared" si="25"/>
        <v>137.06136429655263</v>
      </c>
      <c r="F27" s="313">
        <f t="shared" si="9"/>
        <v>43.406980192445886</v>
      </c>
      <c r="G27" s="314">
        <f t="shared" si="10"/>
        <v>1.463480493814304</v>
      </c>
      <c r="H27" s="309"/>
      <c r="I27" s="348">
        <f t="shared" si="25"/>
        <v>93.65438410410674</v>
      </c>
      <c r="J27" s="348"/>
      <c r="K27" s="348"/>
      <c r="L27" s="348"/>
      <c r="M27" s="348"/>
      <c r="N27" s="348">
        <f t="shared" ref="N27:AD27" si="26">N32/N30</f>
        <v>93.65438410410674</v>
      </c>
      <c r="O27" s="348">
        <f t="shared" si="26"/>
        <v>93.65438410410674</v>
      </c>
      <c r="P27" s="348">
        <f t="shared" si="26"/>
        <v>93.65438410410674</v>
      </c>
      <c r="Q27" s="348">
        <f t="shared" si="26"/>
        <v>96.475045876558013</v>
      </c>
      <c r="R27" s="348">
        <f t="shared" si="26"/>
        <v>96.475045876558013</v>
      </c>
      <c r="S27" s="348">
        <f t="shared" si="26"/>
        <v>96.475045876558013</v>
      </c>
      <c r="T27" s="348">
        <f t="shared" si="26"/>
        <v>96.475045876558013</v>
      </c>
      <c r="U27" s="348">
        <f t="shared" si="26"/>
        <v>96.475045876558013</v>
      </c>
      <c r="V27" s="348">
        <f t="shared" si="26"/>
        <v>96.475045876558013</v>
      </c>
      <c r="W27" s="348">
        <f t="shared" si="26"/>
        <v>96.475045876558013</v>
      </c>
      <c r="X27" s="348">
        <f t="shared" si="26"/>
        <v>96.475045876558013</v>
      </c>
      <c r="Y27" s="348">
        <f t="shared" si="26"/>
        <v>96.475045876558013</v>
      </c>
      <c r="Z27" s="348">
        <f t="shared" si="26"/>
        <v>96.475045876558013</v>
      </c>
      <c r="AA27" s="348">
        <f t="shared" si="26"/>
        <v>96.475045876558013</v>
      </c>
      <c r="AB27" s="348">
        <f t="shared" si="26"/>
        <v>96.475045876558013</v>
      </c>
      <c r="AC27" s="348">
        <f t="shared" si="26"/>
        <v>96.475045876558013</v>
      </c>
      <c r="AD27" s="348">
        <f t="shared" si="26"/>
        <v>96.475045876558013</v>
      </c>
      <c r="AE27" s="348">
        <f t="shared" si="24"/>
        <v>96.475045876558013</v>
      </c>
    </row>
    <row r="28" spans="1:33">
      <c r="A28" s="317" t="s">
        <v>139</v>
      </c>
      <c r="B28" s="310" t="s">
        <v>116</v>
      </c>
      <c r="C28" s="319" t="s">
        <v>138</v>
      </c>
      <c r="D28" s="328">
        <f t="shared" ref="D28:I28" si="27">D33/D31</f>
        <v>66.61994268006265</v>
      </c>
      <c r="E28" s="328">
        <f t="shared" si="27"/>
        <v>91.453971147144145</v>
      </c>
      <c r="F28" s="313">
        <f t="shared" si="9"/>
        <v>24.834028467081495</v>
      </c>
      <c r="G28" s="314">
        <f t="shared" si="10"/>
        <v>1.3727716876963567</v>
      </c>
      <c r="H28" s="309"/>
      <c r="I28" s="348">
        <f t="shared" si="27"/>
        <v>66.61994268006265</v>
      </c>
      <c r="J28" s="348"/>
      <c r="K28" s="348"/>
      <c r="L28" s="348"/>
      <c r="M28" s="348"/>
      <c r="N28" s="348">
        <f t="shared" ref="N28:AD28" si="28">N33/N31</f>
        <v>66.61994268006265</v>
      </c>
      <c r="O28" s="348">
        <f t="shared" si="28"/>
        <v>66.61994268006265</v>
      </c>
      <c r="P28" s="348">
        <f t="shared" si="28"/>
        <v>66.61994268006265</v>
      </c>
      <c r="Q28" s="348">
        <f t="shared" si="28"/>
        <v>70.362437134394185</v>
      </c>
      <c r="R28" s="348">
        <f t="shared" si="28"/>
        <v>70.362437134394185</v>
      </c>
      <c r="S28" s="348">
        <f t="shared" si="28"/>
        <v>70.362437134394185</v>
      </c>
      <c r="T28" s="348">
        <f t="shared" si="28"/>
        <v>70.362437134394185</v>
      </c>
      <c r="U28" s="348">
        <f t="shared" si="28"/>
        <v>70.362437134394185</v>
      </c>
      <c r="V28" s="348">
        <f t="shared" si="28"/>
        <v>70.362437134394185</v>
      </c>
      <c r="W28" s="348">
        <f t="shared" si="28"/>
        <v>70.362437134394185</v>
      </c>
      <c r="X28" s="348">
        <f t="shared" si="28"/>
        <v>70.362437134394185</v>
      </c>
      <c r="Y28" s="348">
        <f t="shared" si="28"/>
        <v>70.362437134394185</v>
      </c>
      <c r="Z28" s="348">
        <f t="shared" si="28"/>
        <v>70.362437134394185</v>
      </c>
      <c r="AA28" s="348">
        <f t="shared" si="28"/>
        <v>70.362437134394185</v>
      </c>
      <c r="AB28" s="348">
        <f t="shared" si="28"/>
        <v>70.362437134394185</v>
      </c>
      <c r="AC28" s="348">
        <f t="shared" si="28"/>
        <v>70.362437134394185</v>
      </c>
      <c r="AD28" s="348">
        <f t="shared" si="28"/>
        <v>70.362437134394185</v>
      </c>
      <c r="AE28" s="348">
        <f t="shared" si="24"/>
        <v>70.362437134394185</v>
      </c>
    </row>
    <row r="29" spans="1:33">
      <c r="A29" s="317" t="s">
        <v>140</v>
      </c>
      <c r="B29" s="318" t="s">
        <v>128</v>
      </c>
      <c r="C29" s="319" t="s">
        <v>129</v>
      </c>
      <c r="D29" s="328">
        <f t="shared" ref="D29:I29" si="29">D30+D31</f>
        <v>462.73469999999998</v>
      </c>
      <c r="E29" s="328">
        <f t="shared" si="29"/>
        <v>335.16102635431031</v>
      </c>
      <c r="F29" s="313">
        <f t="shared" si="9"/>
        <v>-127.57367364568967</v>
      </c>
      <c r="G29" s="314">
        <f t="shared" si="10"/>
        <v>0.7243049340244212</v>
      </c>
      <c r="H29" s="309"/>
      <c r="I29" s="348">
        <f t="shared" si="29"/>
        <v>462.73469999999998</v>
      </c>
      <c r="J29" s="348"/>
      <c r="K29" s="348"/>
      <c r="L29" s="348"/>
      <c r="M29" s="348"/>
      <c r="N29" s="348">
        <f t="shared" ref="N29:AD29" si="30">N30+N31</f>
        <v>462.73469999999998</v>
      </c>
      <c r="O29" s="348">
        <f t="shared" si="30"/>
        <v>462.73469999999998</v>
      </c>
      <c r="P29" s="348">
        <f t="shared" si="30"/>
        <v>462.73469999999998</v>
      </c>
      <c r="Q29" s="348">
        <f t="shared" si="30"/>
        <v>462.73469999999998</v>
      </c>
      <c r="R29" s="348">
        <f t="shared" si="30"/>
        <v>462.73469999999998</v>
      </c>
      <c r="S29" s="348">
        <f t="shared" si="30"/>
        <v>462.73469999999998</v>
      </c>
      <c r="T29" s="348">
        <f t="shared" si="30"/>
        <v>462.73469999999998</v>
      </c>
      <c r="U29" s="348">
        <f t="shared" si="30"/>
        <v>462.73469999999998</v>
      </c>
      <c r="V29" s="348">
        <f t="shared" si="30"/>
        <v>462.73469999999998</v>
      </c>
      <c r="W29" s="348">
        <f t="shared" si="30"/>
        <v>462.73469999999998</v>
      </c>
      <c r="X29" s="348">
        <f t="shared" si="30"/>
        <v>462.73469999999998</v>
      </c>
      <c r="Y29" s="348">
        <f t="shared" si="30"/>
        <v>462.73469999999998</v>
      </c>
      <c r="Z29" s="348">
        <f t="shared" si="30"/>
        <v>462.73469999999998</v>
      </c>
      <c r="AA29" s="348">
        <f t="shared" si="30"/>
        <v>462.73469999999998</v>
      </c>
      <c r="AB29" s="348">
        <f t="shared" si="30"/>
        <v>462.73469999999998</v>
      </c>
      <c r="AC29" s="348">
        <f t="shared" si="30"/>
        <v>462.73469999999998</v>
      </c>
      <c r="AD29" s="348">
        <f t="shared" si="30"/>
        <v>462.73469999999998</v>
      </c>
      <c r="AE29" s="348">
        <f t="shared" si="24"/>
        <v>462.73469999999998</v>
      </c>
    </row>
    <row r="30" spans="1:33">
      <c r="A30" s="317" t="s">
        <v>141</v>
      </c>
      <c r="B30" s="310" t="s">
        <v>115</v>
      </c>
      <c r="C30" s="319" t="s">
        <v>129</v>
      </c>
      <c r="D30" s="328">
        <f t="shared" ref="D30:I30" si="31">D36+D39</f>
        <v>201.90049999999999</v>
      </c>
      <c r="E30" s="328">
        <f t="shared" si="31"/>
        <v>141.79201483761102</v>
      </c>
      <c r="F30" s="313">
        <f t="shared" si="9"/>
        <v>-60.108485162388973</v>
      </c>
      <c r="G30" s="314">
        <f t="shared" si="10"/>
        <v>0.70228659581135766</v>
      </c>
      <c r="H30" s="329"/>
      <c r="I30" s="350">
        <f t="shared" si="31"/>
        <v>201.90049999999999</v>
      </c>
      <c r="J30" s="350"/>
      <c r="K30" s="350"/>
      <c r="L30" s="350"/>
      <c r="M30" s="350"/>
      <c r="N30" s="350">
        <f t="shared" ref="N30:AD30" si="32">N36+N39</f>
        <v>201.90049999999999</v>
      </c>
      <c r="O30" s="350">
        <f t="shared" si="32"/>
        <v>201.90049999999999</v>
      </c>
      <c r="P30" s="350">
        <f t="shared" si="32"/>
        <v>201.90049999999999</v>
      </c>
      <c r="Q30" s="350">
        <f t="shared" si="32"/>
        <v>201.90049999999999</v>
      </c>
      <c r="R30" s="350">
        <f t="shared" si="32"/>
        <v>201.90049999999999</v>
      </c>
      <c r="S30" s="350">
        <f t="shared" si="32"/>
        <v>201.90049999999999</v>
      </c>
      <c r="T30" s="350">
        <f t="shared" si="32"/>
        <v>201.90049999999999</v>
      </c>
      <c r="U30" s="350">
        <f t="shared" si="32"/>
        <v>201.90049999999999</v>
      </c>
      <c r="V30" s="350">
        <f t="shared" si="32"/>
        <v>201.90049999999999</v>
      </c>
      <c r="W30" s="350">
        <f t="shared" si="32"/>
        <v>201.90049999999999</v>
      </c>
      <c r="X30" s="350">
        <f t="shared" si="32"/>
        <v>201.90049999999999</v>
      </c>
      <c r="Y30" s="350">
        <f t="shared" si="32"/>
        <v>201.90049999999999</v>
      </c>
      <c r="Z30" s="350">
        <f t="shared" si="32"/>
        <v>201.90049999999999</v>
      </c>
      <c r="AA30" s="350">
        <f t="shared" si="32"/>
        <v>201.90049999999999</v>
      </c>
      <c r="AB30" s="350">
        <f t="shared" si="32"/>
        <v>201.90049999999999</v>
      </c>
      <c r="AC30" s="350">
        <f t="shared" si="32"/>
        <v>201.90049999999999</v>
      </c>
      <c r="AD30" s="350">
        <f t="shared" si="32"/>
        <v>201.90049999999999</v>
      </c>
      <c r="AE30" s="350">
        <f t="shared" si="24"/>
        <v>201.90049999999999</v>
      </c>
    </row>
    <row r="31" spans="1:33">
      <c r="A31" s="317" t="s">
        <v>142</v>
      </c>
      <c r="B31" s="310" t="s">
        <v>116</v>
      </c>
      <c r="C31" s="319" t="s">
        <v>129</v>
      </c>
      <c r="D31" s="328">
        <f t="shared" ref="D31:I31" si="33">D37+D40</f>
        <v>260.83420000000001</v>
      </c>
      <c r="E31" s="328">
        <f t="shared" si="33"/>
        <v>193.36901151669929</v>
      </c>
      <c r="F31" s="313">
        <f t="shared" si="9"/>
        <v>-67.465188483300722</v>
      </c>
      <c r="G31" s="314">
        <f t="shared" si="10"/>
        <v>0.74134837960934297</v>
      </c>
      <c r="H31" s="329"/>
      <c r="I31" s="350">
        <f t="shared" si="33"/>
        <v>260.83420000000001</v>
      </c>
      <c r="J31" s="350"/>
      <c r="K31" s="350"/>
      <c r="L31" s="350"/>
      <c r="M31" s="350"/>
      <c r="N31" s="350">
        <f t="shared" ref="N31:AD31" si="34">N37+N40</f>
        <v>260.83420000000001</v>
      </c>
      <c r="O31" s="350">
        <f t="shared" si="34"/>
        <v>260.83420000000001</v>
      </c>
      <c r="P31" s="350">
        <f t="shared" si="34"/>
        <v>260.83420000000001</v>
      </c>
      <c r="Q31" s="350">
        <f t="shared" si="34"/>
        <v>260.83420000000001</v>
      </c>
      <c r="R31" s="350">
        <f t="shared" si="34"/>
        <v>260.83420000000001</v>
      </c>
      <c r="S31" s="350">
        <f t="shared" si="34"/>
        <v>260.83420000000001</v>
      </c>
      <c r="T31" s="350">
        <f t="shared" si="34"/>
        <v>260.83420000000001</v>
      </c>
      <c r="U31" s="350">
        <f t="shared" si="34"/>
        <v>260.83420000000001</v>
      </c>
      <c r="V31" s="350">
        <f t="shared" si="34"/>
        <v>260.83420000000001</v>
      </c>
      <c r="W31" s="350">
        <f t="shared" si="34"/>
        <v>260.83420000000001</v>
      </c>
      <c r="X31" s="350">
        <f t="shared" si="34"/>
        <v>260.83420000000001</v>
      </c>
      <c r="Y31" s="350">
        <f t="shared" si="34"/>
        <v>260.83420000000001</v>
      </c>
      <c r="Z31" s="350">
        <f t="shared" si="34"/>
        <v>260.83420000000001</v>
      </c>
      <c r="AA31" s="350">
        <f t="shared" si="34"/>
        <v>260.83420000000001</v>
      </c>
      <c r="AB31" s="350">
        <f t="shared" si="34"/>
        <v>260.83420000000001</v>
      </c>
      <c r="AC31" s="350">
        <f t="shared" si="34"/>
        <v>260.83420000000001</v>
      </c>
      <c r="AD31" s="350">
        <f t="shared" si="34"/>
        <v>260.83420000000001</v>
      </c>
      <c r="AE31" s="350">
        <f t="shared" si="24"/>
        <v>260.83420000000001</v>
      </c>
    </row>
    <row r="32" spans="1:33" ht="18">
      <c r="A32" s="317" t="s">
        <v>143</v>
      </c>
      <c r="B32" s="318" t="s">
        <v>144</v>
      </c>
      <c r="C32" s="319" t="s">
        <v>145</v>
      </c>
      <c r="D32" s="328">
        <f t="shared" ref="D32:I32" si="35">D14</f>
        <v>18908.866977811202</v>
      </c>
      <c r="E32" s="328">
        <f t="shared" si="35"/>
        <v>19434.206999999999</v>
      </c>
      <c r="F32" s="313">
        <f t="shared" si="9"/>
        <v>525.34002218879687</v>
      </c>
      <c r="G32" s="314">
        <f t="shared" si="10"/>
        <v>1.0277827340371721</v>
      </c>
      <c r="H32" s="329"/>
      <c r="I32" s="350">
        <f t="shared" si="35"/>
        <v>18908.866977811202</v>
      </c>
      <c r="J32" s="350"/>
      <c r="K32" s="350"/>
      <c r="L32" s="350"/>
      <c r="M32" s="350"/>
      <c r="N32" s="350">
        <f t="shared" ref="N32:P32" si="36">N14</f>
        <v>18908.866977811202</v>
      </c>
      <c r="O32" s="350">
        <f t="shared" si="36"/>
        <v>18908.866977811202</v>
      </c>
      <c r="P32" s="350">
        <f t="shared" si="36"/>
        <v>18908.866977811202</v>
      </c>
      <c r="Q32" s="350">
        <f>[6]НиК!Q42</f>
        <v>19478.36</v>
      </c>
      <c r="R32" s="350">
        <f>[6]НиК!R42</f>
        <v>19478.36</v>
      </c>
      <c r="S32" s="350">
        <f>[6]НиК!S42</f>
        <v>19478.36</v>
      </c>
      <c r="T32" s="350">
        <f>[6]НиК!T42</f>
        <v>19478.36</v>
      </c>
      <c r="U32" s="350">
        <f>[6]НиК!U42</f>
        <v>19478.36</v>
      </c>
      <c r="V32" s="350">
        <f>[6]НиК!V42</f>
        <v>19478.36</v>
      </c>
      <c r="W32" s="350">
        <f>[6]НиК!W42</f>
        <v>19478.36</v>
      </c>
      <c r="X32" s="350">
        <f>[6]НиК!X42</f>
        <v>19478.36</v>
      </c>
      <c r="Y32" s="350">
        <f>[6]НиК!Y42</f>
        <v>19478.36</v>
      </c>
      <c r="Z32" s="350">
        <f>[6]НиК!Z42</f>
        <v>19478.36</v>
      </c>
      <c r="AA32" s="350">
        <f>[6]НиК!AA42</f>
        <v>19478.36</v>
      </c>
      <c r="AB32" s="350">
        <f>[6]НиК!AB42</f>
        <v>19478.36</v>
      </c>
      <c r="AC32" s="350">
        <f>[6]НиК!AC42</f>
        <v>19478.36</v>
      </c>
      <c r="AD32" s="350">
        <f>[6]НиК!AD42</f>
        <v>19478.36</v>
      </c>
      <c r="AE32" s="350">
        <f t="shared" si="24"/>
        <v>19478.36</v>
      </c>
      <c r="AG32" s="2" t="s">
        <v>285</v>
      </c>
    </row>
    <row r="33" spans="1:33" ht="45">
      <c r="A33" s="317" t="s">
        <v>146</v>
      </c>
      <c r="B33" s="318" t="s">
        <v>147</v>
      </c>
      <c r="C33" s="319" t="s">
        <v>145</v>
      </c>
      <c r="D33" s="328">
        <v>17376.759452999999</v>
      </c>
      <c r="E33" s="328">
        <v>17684.364000000001</v>
      </c>
      <c r="F33" s="313">
        <f t="shared" si="9"/>
        <v>307.60454700000264</v>
      </c>
      <c r="G33" s="314">
        <f t="shared" si="10"/>
        <v>1.0177020662472769</v>
      </c>
      <c r="H33" s="330"/>
      <c r="I33" s="350">
        <v>17376.759452999999</v>
      </c>
      <c r="J33" s="350"/>
      <c r="K33" s="350"/>
      <c r="L33" s="350"/>
      <c r="M33" s="330" t="s">
        <v>290</v>
      </c>
      <c r="N33" s="350">
        <v>17376.759452999999</v>
      </c>
      <c r="O33" s="350">
        <v>17376.759452999999</v>
      </c>
      <c r="P33" s="350">
        <v>17376.759452999999</v>
      </c>
      <c r="Q33" s="350">
        <v>18352.93</v>
      </c>
      <c r="R33" s="350">
        <v>18352.93</v>
      </c>
      <c r="S33" s="350">
        <v>18352.93</v>
      </c>
      <c r="T33" s="350">
        <v>18352.93</v>
      </c>
      <c r="U33" s="350">
        <v>18352.93</v>
      </c>
      <c r="V33" s="350">
        <v>18352.93</v>
      </c>
      <c r="W33" s="350">
        <v>18352.93</v>
      </c>
      <c r="X33" s="350">
        <v>18352.93</v>
      </c>
      <c r="Y33" s="350">
        <v>18352.93</v>
      </c>
      <c r="Z33" s="350">
        <v>18352.93</v>
      </c>
      <c r="AA33" s="350">
        <v>18352.93</v>
      </c>
      <c r="AB33" s="350">
        <v>18352.93</v>
      </c>
      <c r="AC33" s="350">
        <v>18352.93</v>
      </c>
      <c r="AD33" s="350">
        <v>18352.93</v>
      </c>
      <c r="AE33" s="350">
        <v>18352.93</v>
      </c>
      <c r="AG33" s="2" t="s">
        <v>285</v>
      </c>
    </row>
    <row r="34" spans="1:33" s="295" customFormat="1" ht="30">
      <c r="A34" s="303" t="s">
        <v>74</v>
      </c>
      <c r="B34" s="304" t="s">
        <v>148</v>
      </c>
      <c r="C34" s="305"/>
      <c r="D34" s="306">
        <f t="shared" ref="D34:I34" si="37">D35+D38+D41+D44</f>
        <v>601.27459999999996</v>
      </c>
      <c r="E34" s="306">
        <f t="shared" si="37"/>
        <v>518.03022838766947</v>
      </c>
      <c r="F34" s="307">
        <f t="shared" si="9"/>
        <v>-83.244371612330497</v>
      </c>
      <c r="G34" s="308">
        <f t="shared" si="10"/>
        <v>0.86155348718816582</v>
      </c>
      <c r="H34" s="329"/>
      <c r="I34" s="348">
        <f t="shared" si="37"/>
        <v>601.27459999999996</v>
      </c>
      <c r="J34" s="348"/>
      <c r="K34" s="348"/>
      <c r="L34" s="348"/>
      <c r="M34" s="329" t="s">
        <v>288</v>
      </c>
      <c r="N34" s="348">
        <f t="shared" ref="N34:AD34" si="38">N35+N38+N41+N44</f>
        <v>601.27459999999996</v>
      </c>
      <c r="O34" s="348">
        <f t="shared" si="38"/>
        <v>601.27459999999996</v>
      </c>
      <c r="P34" s="348">
        <f t="shared" si="38"/>
        <v>601.27459999999996</v>
      </c>
      <c r="Q34" s="348">
        <f t="shared" si="38"/>
        <v>601.27459999999996</v>
      </c>
      <c r="R34" s="348">
        <f t="shared" si="38"/>
        <v>601.27459999999996</v>
      </c>
      <c r="S34" s="348">
        <f t="shared" si="38"/>
        <v>601.27459999999996</v>
      </c>
      <c r="T34" s="348">
        <f t="shared" si="38"/>
        <v>601.27459999999996</v>
      </c>
      <c r="U34" s="348">
        <f t="shared" si="38"/>
        <v>601.27459999999996</v>
      </c>
      <c r="V34" s="348">
        <f t="shared" si="38"/>
        <v>601.27459999999996</v>
      </c>
      <c r="W34" s="348">
        <f t="shared" si="38"/>
        <v>601.27459999999996</v>
      </c>
      <c r="X34" s="348">
        <f t="shared" si="38"/>
        <v>601.27459999999996</v>
      </c>
      <c r="Y34" s="348">
        <f t="shared" si="38"/>
        <v>601.27459999999996</v>
      </c>
      <c r="Z34" s="348">
        <f t="shared" si="38"/>
        <v>601.27459999999996</v>
      </c>
      <c r="AA34" s="348">
        <f t="shared" si="38"/>
        <v>601.27459999999996</v>
      </c>
      <c r="AB34" s="348">
        <f t="shared" si="38"/>
        <v>601.27459999999996</v>
      </c>
      <c r="AC34" s="348">
        <f t="shared" si="38"/>
        <v>601.27459999999996</v>
      </c>
      <c r="AD34" s="348">
        <f t="shared" si="38"/>
        <v>601.27459999999996</v>
      </c>
      <c r="AE34" s="348">
        <f t="shared" ref="AE34:AE46" si="39">AD34</f>
        <v>601.27459999999996</v>
      </c>
      <c r="AG34" s="295" t="s">
        <v>291</v>
      </c>
    </row>
    <row r="35" spans="1:33">
      <c r="A35" s="331" t="s">
        <v>76</v>
      </c>
      <c r="B35" s="332" t="s">
        <v>149</v>
      </c>
      <c r="C35" s="311"/>
      <c r="D35" s="328">
        <f t="shared" ref="D35:I35" si="40">D36+D37</f>
        <v>429.65750000000003</v>
      </c>
      <c r="E35" s="328">
        <f t="shared" si="40"/>
        <v>297.60986855786899</v>
      </c>
      <c r="F35" s="313">
        <f t="shared" si="9"/>
        <v>-132.04763144213103</v>
      </c>
      <c r="G35" s="314">
        <f t="shared" si="10"/>
        <v>0.69266769126075767</v>
      </c>
      <c r="H35" s="309"/>
      <c r="I35" s="348">
        <f t="shared" si="40"/>
        <v>429.65750000000003</v>
      </c>
      <c r="J35" s="348"/>
      <c r="K35" s="348"/>
      <c r="L35" s="348"/>
      <c r="M35" s="309"/>
      <c r="N35" s="348">
        <f t="shared" ref="N35:AD35" si="41">N36+N37</f>
        <v>429.65750000000003</v>
      </c>
      <c r="O35" s="348">
        <f t="shared" si="41"/>
        <v>429.65750000000003</v>
      </c>
      <c r="P35" s="348">
        <f t="shared" si="41"/>
        <v>429.65750000000003</v>
      </c>
      <c r="Q35" s="348">
        <f t="shared" si="41"/>
        <v>429.65750000000003</v>
      </c>
      <c r="R35" s="348">
        <f t="shared" si="41"/>
        <v>429.65750000000003</v>
      </c>
      <c r="S35" s="348">
        <f t="shared" si="41"/>
        <v>429.65750000000003</v>
      </c>
      <c r="T35" s="348">
        <f t="shared" si="41"/>
        <v>429.65750000000003</v>
      </c>
      <c r="U35" s="348">
        <f t="shared" si="41"/>
        <v>429.65750000000003</v>
      </c>
      <c r="V35" s="348">
        <f t="shared" si="41"/>
        <v>429.65750000000003</v>
      </c>
      <c r="W35" s="348">
        <f t="shared" si="41"/>
        <v>429.65750000000003</v>
      </c>
      <c r="X35" s="348">
        <f t="shared" si="41"/>
        <v>429.65750000000003</v>
      </c>
      <c r="Y35" s="348">
        <f t="shared" si="41"/>
        <v>429.65750000000003</v>
      </c>
      <c r="Z35" s="348">
        <f t="shared" si="41"/>
        <v>429.65750000000003</v>
      </c>
      <c r="AA35" s="348">
        <f t="shared" si="41"/>
        <v>429.65750000000003</v>
      </c>
      <c r="AB35" s="348">
        <f t="shared" si="41"/>
        <v>429.65750000000003</v>
      </c>
      <c r="AC35" s="348">
        <f t="shared" si="41"/>
        <v>429.65750000000003</v>
      </c>
      <c r="AD35" s="348">
        <f t="shared" si="41"/>
        <v>429.65750000000003</v>
      </c>
      <c r="AE35" s="348">
        <f t="shared" si="39"/>
        <v>429.65750000000003</v>
      </c>
      <c r="AG35" s="2" t="s">
        <v>291</v>
      </c>
    </row>
    <row r="36" spans="1:33">
      <c r="A36" s="331" t="s">
        <v>78</v>
      </c>
      <c r="B36" s="310" t="s">
        <v>115</v>
      </c>
      <c r="C36" s="311"/>
      <c r="D36" s="328">
        <v>183.31729999999999</v>
      </c>
      <c r="E36" s="328">
        <v>121.07637085314801</v>
      </c>
      <c r="F36" s="313">
        <f t="shared" si="9"/>
        <v>-62.240929146851983</v>
      </c>
      <c r="G36" s="314">
        <f t="shared" si="10"/>
        <v>0.66047432977219289</v>
      </c>
      <c r="H36" s="329"/>
      <c r="I36" s="350">
        <v>183.31729999999999</v>
      </c>
      <c r="J36" s="350"/>
      <c r="K36" s="350"/>
      <c r="L36" s="350"/>
      <c r="M36" s="329"/>
      <c r="N36" s="350">
        <v>183.31729999999999</v>
      </c>
      <c r="O36" s="350">
        <v>183.31729999999999</v>
      </c>
      <c r="P36" s="350">
        <v>183.31729999999999</v>
      </c>
      <c r="Q36" s="350">
        <v>183.31729999999999</v>
      </c>
      <c r="R36" s="350">
        <v>183.31729999999999</v>
      </c>
      <c r="S36" s="350">
        <v>183.31729999999999</v>
      </c>
      <c r="T36" s="350">
        <v>183.31729999999999</v>
      </c>
      <c r="U36" s="350">
        <v>183.31729999999999</v>
      </c>
      <c r="V36" s="350">
        <v>183.31729999999999</v>
      </c>
      <c r="W36" s="350">
        <v>183.31729999999999</v>
      </c>
      <c r="X36" s="350">
        <v>183.31729999999999</v>
      </c>
      <c r="Y36" s="350">
        <v>183.31729999999999</v>
      </c>
      <c r="Z36" s="350">
        <v>183.31729999999999</v>
      </c>
      <c r="AA36" s="350">
        <v>183.31729999999999</v>
      </c>
      <c r="AB36" s="350">
        <v>183.31729999999999</v>
      </c>
      <c r="AC36" s="350">
        <v>183.31729999999999</v>
      </c>
      <c r="AD36" s="350">
        <v>183.31729999999999</v>
      </c>
      <c r="AE36" s="350">
        <f t="shared" si="39"/>
        <v>183.31729999999999</v>
      </c>
      <c r="AG36" s="2" t="s">
        <v>291</v>
      </c>
    </row>
    <row r="37" spans="1:33">
      <c r="A37" s="331" t="s">
        <v>80</v>
      </c>
      <c r="B37" s="310" t="s">
        <v>116</v>
      </c>
      <c r="C37" s="311"/>
      <c r="D37" s="328">
        <v>246.34020000000001</v>
      </c>
      <c r="E37" s="328">
        <v>176.53349770472099</v>
      </c>
      <c r="F37" s="313">
        <f t="shared" si="9"/>
        <v>-69.806702295279024</v>
      </c>
      <c r="G37" s="314">
        <f t="shared" si="10"/>
        <v>0.7166248046592516</v>
      </c>
      <c r="H37" s="329"/>
      <c r="I37" s="350">
        <v>246.34020000000001</v>
      </c>
      <c r="J37" s="350"/>
      <c r="K37" s="350"/>
      <c r="L37" s="350"/>
      <c r="M37" s="329"/>
      <c r="N37" s="350">
        <v>246.34020000000001</v>
      </c>
      <c r="O37" s="350">
        <v>246.34020000000001</v>
      </c>
      <c r="P37" s="350">
        <v>246.34020000000001</v>
      </c>
      <c r="Q37" s="350">
        <v>246.34020000000001</v>
      </c>
      <c r="R37" s="350">
        <v>246.34020000000001</v>
      </c>
      <c r="S37" s="350">
        <v>246.34020000000001</v>
      </c>
      <c r="T37" s="350">
        <v>246.34020000000001</v>
      </c>
      <c r="U37" s="350">
        <v>246.34020000000001</v>
      </c>
      <c r="V37" s="350">
        <v>246.34020000000001</v>
      </c>
      <c r="W37" s="350">
        <v>246.34020000000001</v>
      </c>
      <c r="X37" s="350">
        <v>246.34020000000001</v>
      </c>
      <c r="Y37" s="350">
        <v>246.34020000000001</v>
      </c>
      <c r="Z37" s="350">
        <v>246.34020000000001</v>
      </c>
      <c r="AA37" s="350">
        <v>246.34020000000001</v>
      </c>
      <c r="AB37" s="350">
        <v>246.34020000000001</v>
      </c>
      <c r="AC37" s="350">
        <v>246.34020000000001</v>
      </c>
      <c r="AD37" s="350">
        <v>246.34020000000001</v>
      </c>
      <c r="AE37" s="350">
        <f t="shared" si="39"/>
        <v>246.34020000000001</v>
      </c>
      <c r="AG37" s="2" t="s">
        <v>291</v>
      </c>
    </row>
    <row r="38" spans="1:33">
      <c r="A38" s="331" t="s">
        <v>82</v>
      </c>
      <c r="B38" s="332" t="s">
        <v>150</v>
      </c>
      <c r="C38" s="311"/>
      <c r="D38" s="333">
        <f t="shared" ref="D38:I38" si="42">D39+D40</f>
        <v>33.077200000000005</v>
      </c>
      <c r="E38" s="333">
        <f t="shared" si="42"/>
        <v>37.551157796441302</v>
      </c>
      <c r="F38" s="313">
        <f t="shared" si="9"/>
        <v>4.4739577964412973</v>
      </c>
      <c r="G38" s="314">
        <f t="shared" si="10"/>
        <v>1.1352580568017032</v>
      </c>
      <c r="H38" s="334"/>
      <c r="I38" s="351">
        <f t="shared" si="42"/>
        <v>33.077200000000005</v>
      </c>
      <c r="J38" s="351"/>
      <c r="K38" s="351"/>
      <c r="L38" s="351"/>
      <c r="M38" s="334"/>
      <c r="N38" s="351">
        <f t="shared" ref="N38:AD38" si="43">N39+N40</f>
        <v>33.077200000000005</v>
      </c>
      <c r="O38" s="351">
        <f t="shared" si="43"/>
        <v>33.077200000000005</v>
      </c>
      <c r="P38" s="351">
        <f t="shared" si="43"/>
        <v>33.077200000000005</v>
      </c>
      <c r="Q38" s="351">
        <f t="shared" si="43"/>
        <v>33.077200000000005</v>
      </c>
      <c r="R38" s="351">
        <f t="shared" si="43"/>
        <v>33.077200000000005</v>
      </c>
      <c r="S38" s="351">
        <f t="shared" si="43"/>
        <v>33.077200000000005</v>
      </c>
      <c r="T38" s="351">
        <f t="shared" si="43"/>
        <v>33.077200000000005</v>
      </c>
      <c r="U38" s="351">
        <f t="shared" si="43"/>
        <v>33.077200000000005</v>
      </c>
      <c r="V38" s="351">
        <f t="shared" si="43"/>
        <v>33.077200000000005</v>
      </c>
      <c r="W38" s="351">
        <f t="shared" si="43"/>
        <v>33.077200000000005</v>
      </c>
      <c r="X38" s="351">
        <f t="shared" si="43"/>
        <v>33.077200000000005</v>
      </c>
      <c r="Y38" s="351">
        <f t="shared" si="43"/>
        <v>33.077200000000005</v>
      </c>
      <c r="Z38" s="351">
        <f t="shared" si="43"/>
        <v>33.077200000000005</v>
      </c>
      <c r="AA38" s="351">
        <f t="shared" si="43"/>
        <v>33.077200000000005</v>
      </c>
      <c r="AB38" s="351">
        <f t="shared" si="43"/>
        <v>33.077200000000005</v>
      </c>
      <c r="AC38" s="351">
        <f t="shared" si="43"/>
        <v>33.077200000000005</v>
      </c>
      <c r="AD38" s="351">
        <f t="shared" si="43"/>
        <v>33.077200000000005</v>
      </c>
      <c r="AE38" s="351">
        <f t="shared" si="39"/>
        <v>33.077200000000005</v>
      </c>
      <c r="AG38" s="2" t="s">
        <v>291</v>
      </c>
    </row>
    <row r="39" spans="1:33">
      <c r="A39" s="331" t="s">
        <v>85</v>
      </c>
      <c r="B39" s="310" t="s">
        <v>115</v>
      </c>
      <c r="C39" s="311"/>
      <c r="D39" s="328">
        <v>18.583200000000001</v>
      </c>
      <c r="E39" s="328">
        <v>20.715643984463</v>
      </c>
      <c r="F39" s="313">
        <f t="shared" si="9"/>
        <v>2.1324439844629985</v>
      </c>
      <c r="G39" s="314">
        <f t="shared" si="10"/>
        <v>1.1147511722665095</v>
      </c>
      <c r="H39" s="329"/>
      <c r="I39" s="350">
        <v>18.583200000000001</v>
      </c>
      <c r="J39" s="350"/>
      <c r="K39" s="350"/>
      <c r="L39" s="350"/>
      <c r="M39" s="329"/>
      <c r="N39" s="350">
        <v>18.583200000000001</v>
      </c>
      <c r="O39" s="350">
        <v>18.583200000000001</v>
      </c>
      <c r="P39" s="350">
        <v>18.583200000000001</v>
      </c>
      <c r="Q39" s="350">
        <v>18.583200000000001</v>
      </c>
      <c r="R39" s="350">
        <v>18.583200000000001</v>
      </c>
      <c r="S39" s="350">
        <v>18.583200000000001</v>
      </c>
      <c r="T39" s="350">
        <v>18.583200000000001</v>
      </c>
      <c r="U39" s="350">
        <v>18.583200000000001</v>
      </c>
      <c r="V39" s="350">
        <v>18.583200000000001</v>
      </c>
      <c r="W39" s="350">
        <v>18.583200000000001</v>
      </c>
      <c r="X39" s="350">
        <v>18.583200000000001</v>
      </c>
      <c r="Y39" s="350">
        <v>18.583200000000001</v>
      </c>
      <c r="Z39" s="350">
        <v>18.583200000000001</v>
      </c>
      <c r="AA39" s="350">
        <v>18.583200000000001</v>
      </c>
      <c r="AB39" s="350">
        <v>18.583200000000001</v>
      </c>
      <c r="AC39" s="350">
        <v>18.583200000000001</v>
      </c>
      <c r="AD39" s="350">
        <v>18.583200000000001</v>
      </c>
      <c r="AE39" s="350">
        <f t="shared" si="39"/>
        <v>18.583200000000001</v>
      </c>
      <c r="AG39" s="2" t="s">
        <v>291</v>
      </c>
    </row>
    <row r="40" spans="1:33">
      <c r="A40" s="331" t="s">
        <v>88</v>
      </c>
      <c r="B40" s="310" t="s">
        <v>116</v>
      </c>
      <c r="C40" s="311"/>
      <c r="D40" s="328">
        <v>14.494</v>
      </c>
      <c r="E40" s="328">
        <v>16.835513811978299</v>
      </c>
      <c r="F40" s="313">
        <f t="shared" si="9"/>
        <v>2.3415138119782988</v>
      </c>
      <c r="G40" s="314">
        <f t="shared" si="10"/>
        <v>1.1615505596783702</v>
      </c>
      <c r="H40" s="329"/>
      <c r="I40" s="350">
        <v>14.494</v>
      </c>
      <c r="J40" s="350"/>
      <c r="K40" s="350"/>
      <c r="L40" s="350"/>
      <c r="M40" s="329"/>
      <c r="N40" s="350">
        <v>14.494</v>
      </c>
      <c r="O40" s="350">
        <v>14.494</v>
      </c>
      <c r="P40" s="350">
        <v>14.494</v>
      </c>
      <c r="Q40" s="350">
        <v>14.494</v>
      </c>
      <c r="R40" s="350">
        <v>14.494</v>
      </c>
      <c r="S40" s="350">
        <v>14.494</v>
      </c>
      <c r="T40" s="350">
        <v>14.494</v>
      </c>
      <c r="U40" s="350">
        <v>14.494</v>
      </c>
      <c r="V40" s="350">
        <v>14.494</v>
      </c>
      <c r="W40" s="350">
        <v>14.494</v>
      </c>
      <c r="X40" s="350">
        <v>14.494</v>
      </c>
      <c r="Y40" s="350">
        <v>14.494</v>
      </c>
      <c r="Z40" s="350">
        <v>14.494</v>
      </c>
      <c r="AA40" s="350">
        <v>14.494</v>
      </c>
      <c r="AB40" s="350">
        <v>14.494</v>
      </c>
      <c r="AC40" s="350">
        <v>14.494</v>
      </c>
      <c r="AD40" s="350">
        <v>14.494</v>
      </c>
      <c r="AE40" s="350">
        <f t="shared" si="39"/>
        <v>14.494</v>
      </c>
      <c r="AG40" s="2" t="s">
        <v>291</v>
      </c>
    </row>
    <row r="41" spans="1:33">
      <c r="A41" s="331" t="s">
        <v>90</v>
      </c>
      <c r="B41" s="332" t="s">
        <v>151</v>
      </c>
      <c r="C41" s="311"/>
      <c r="D41" s="333">
        <f t="shared" ref="D41:I41" si="44">D42+D43</f>
        <v>70.342700000000008</v>
      </c>
      <c r="E41" s="333">
        <f t="shared" si="44"/>
        <v>70.126180947304292</v>
      </c>
      <c r="F41" s="313">
        <f t="shared" si="9"/>
        <v>-0.21651905269571614</v>
      </c>
      <c r="G41" s="314">
        <f t="shared" si="10"/>
        <v>0.99692193997819656</v>
      </c>
      <c r="H41" s="334"/>
      <c r="I41" s="351">
        <f t="shared" si="44"/>
        <v>70.342700000000008</v>
      </c>
      <c r="J41" s="351"/>
      <c r="K41" s="351"/>
      <c r="L41" s="351"/>
      <c r="M41" s="334"/>
      <c r="N41" s="351">
        <f t="shared" ref="N41:AD41" si="45">N42+N43</f>
        <v>70.342700000000008</v>
      </c>
      <c r="O41" s="351">
        <f t="shared" si="45"/>
        <v>70.342700000000008</v>
      </c>
      <c r="P41" s="351">
        <f t="shared" si="45"/>
        <v>70.342700000000008</v>
      </c>
      <c r="Q41" s="351">
        <f t="shared" si="45"/>
        <v>70.342700000000008</v>
      </c>
      <c r="R41" s="351">
        <f t="shared" si="45"/>
        <v>70.342700000000008</v>
      </c>
      <c r="S41" s="351">
        <f t="shared" si="45"/>
        <v>70.342700000000008</v>
      </c>
      <c r="T41" s="351">
        <f t="shared" si="45"/>
        <v>70.342700000000008</v>
      </c>
      <c r="U41" s="351">
        <f t="shared" si="45"/>
        <v>70.342700000000008</v>
      </c>
      <c r="V41" s="351">
        <f t="shared" si="45"/>
        <v>70.342700000000008</v>
      </c>
      <c r="W41" s="351">
        <f t="shared" si="45"/>
        <v>70.342700000000008</v>
      </c>
      <c r="X41" s="351">
        <f t="shared" si="45"/>
        <v>70.342700000000008</v>
      </c>
      <c r="Y41" s="351">
        <f t="shared" si="45"/>
        <v>70.342700000000008</v>
      </c>
      <c r="Z41" s="351">
        <f t="shared" si="45"/>
        <v>70.342700000000008</v>
      </c>
      <c r="AA41" s="351">
        <f t="shared" si="45"/>
        <v>70.342700000000008</v>
      </c>
      <c r="AB41" s="351">
        <f t="shared" si="45"/>
        <v>70.342700000000008</v>
      </c>
      <c r="AC41" s="351">
        <f t="shared" si="45"/>
        <v>70.342700000000008</v>
      </c>
      <c r="AD41" s="351">
        <f t="shared" si="45"/>
        <v>70.342700000000008</v>
      </c>
      <c r="AE41" s="351">
        <f t="shared" si="39"/>
        <v>70.342700000000008</v>
      </c>
      <c r="AG41" s="2" t="s">
        <v>291</v>
      </c>
    </row>
    <row r="42" spans="1:33">
      <c r="A42" s="331" t="s">
        <v>92</v>
      </c>
      <c r="B42" s="310" t="s">
        <v>115</v>
      </c>
      <c r="C42" s="311"/>
      <c r="D42" s="328">
        <v>37.277700000000003</v>
      </c>
      <c r="E42" s="328">
        <v>40.713925826673297</v>
      </c>
      <c r="F42" s="313">
        <f t="shared" si="9"/>
        <v>3.4362258266732937</v>
      </c>
      <c r="G42" s="314">
        <f t="shared" si="10"/>
        <v>1.0921791265736163</v>
      </c>
      <c r="H42" s="329"/>
      <c r="I42" s="350">
        <v>37.277700000000003</v>
      </c>
      <c r="J42" s="350"/>
      <c r="K42" s="350"/>
      <c r="L42" s="350"/>
      <c r="M42" s="329"/>
      <c r="N42" s="350">
        <v>37.277700000000003</v>
      </c>
      <c r="O42" s="350">
        <v>37.277700000000003</v>
      </c>
      <c r="P42" s="350">
        <v>37.277700000000003</v>
      </c>
      <c r="Q42" s="350">
        <v>37.277700000000003</v>
      </c>
      <c r="R42" s="350">
        <v>37.277700000000003</v>
      </c>
      <c r="S42" s="350">
        <v>37.277700000000003</v>
      </c>
      <c r="T42" s="350">
        <v>37.277700000000003</v>
      </c>
      <c r="U42" s="350">
        <v>37.277700000000003</v>
      </c>
      <c r="V42" s="350">
        <v>37.277700000000003</v>
      </c>
      <c r="W42" s="350">
        <v>37.277700000000003</v>
      </c>
      <c r="X42" s="350">
        <v>37.277700000000003</v>
      </c>
      <c r="Y42" s="350">
        <v>37.277700000000003</v>
      </c>
      <c r="Z42" s="350">
        <v>37.277700000000003</v>
      </c>
      <c r="AA42" s="350">
        <v>37.277700000000003</v>
      </c>
      <c r="AB42" s="350">
        <v>37.277700000000003</v>
      </c>
      <c r="AC42" s="350">
        <v>37.277700000000003</v>
      </c>
      <c r="AD42" s="350">
        <v>37.277700000000003</v>
      </c>
      <c r="AE42" s="350">
        <f t="shared" si="39"/>
        <v>37.277700000000003</v>
      </c>
      <c r="AG42" s="2" t="s">
        <v>291</v>
      </c>
    </row>
    <row r="43" spans="1:33">
      <c r="A43" s="331" t="s">
        <v>93</v>
      </c>
      <c r="B43" s="310" t="s">
        <v>116</v>
      </c>
      <c r="C43" s="311"/>
      <c r="D43" s="328">
        <v>33.064999999999998</v>
      </c>
      <c r="E43" s="328">
        <v>29.412255120630999</v>
      </c>
      <c r="F43" s="313">
        <f t="shared" si="9"/>
        <v>-3.6527448793689992</v>
      </c>
      <c r="G43" s="314">
        <f t="shared" si="10"/>
        <v>0.8895283568919099</v>
      </c>
      <c r="H43" s="329"/>
      <c r="I43" s="350">
        <v>33.064999999999998</v>
      </c>
      <c r="J43" s="350"/>
      <c r="K43" s="350"/>
      <c r="L43" s="350"/>
      <c r="M43" s="329"/>
      <c r="N43" s="350">
        <v>33.064999999999998</v>
      </c>
      <c r="O43" s="350">
        <v>33.064999999999998</v>
      </c>
      <c r="P43" s="350">
        <v>33.064999999999998</v>
      </c>
      <c r="Q43" s="350">
        <v>33.064999999999998</v>
      </c>
      <c r="R43" s="350">
        <v>33.064999999999998</v>
      </c>
      <c r="S43" s="350">
        <v>33.064999999999998</v>
      </c>
      <c r="T43" s="350">
        <v>33.064999999999998</v>
      </c>
      <c r="U43" s="350">
        <v>33.064999999999998</v>
      </c>
      <c r="V43" s="350">
        <v>33.064999999999998</v>
      </c>
      <c r="W43" s="350">
        <v>33.064999999999998</v>
      </c>
      <c r="X43" s="350">
        <v>33.064999999999998</v>
      </c>
      <c r="Y43" s="350">
        <v>33.064999999999998</v>
      </c>
      <c r="Z43" s="350">
        <v>33.064999999999998</v>
      </c>
      <c r="AA43" s="350">
        <v>33.064999999999998</v>
      </c>
      <c r="AB43" s="350">
        <v>33.064999999999998</v>
      </c>
      <c r="AC43" s="350">
        <v>33.064999999999998</v>
      </c>
      <c r="AD43" s="350">
        <v>33.064999999999998</v>
      </c>
      <c r="AE43" s="350">
        <f t="shared" si="39"/>
        <v>33.064999999999998</v>
      </c>
      <c r="AG43" s="2" t="s">
        <v>291</v>
      </c>
    </row>
    <row r="44" spans="1:33">
      <c r="A44" s="331" t="s">
        <v>95</v>
      </c>
      <c r="B44" s="332" t="s">
        <v>152</v>
      </c>
      <c r="C44" s="311"/>
      <c r="D44" s="333">
        <f t="shared" ref="D44:I44" si="46">D45+D46</f>
        <v>68.197199999999995</v>
      </c>
      <c r="E44" s="333">
        <f t="shared" si="46"/>
        <v>112.74302108605491</v>
      </c>
      <c r="F44" s="313">
        <f t="shared" si="9"/>
        <v>44.545821086054914</v>
      </c>
      <c r="G44" s="314">
        <f t="shared" si="10"/>
        <v>1.6531913492937382</v>
      </c>
      <c r="H44" s="334"/>
      <c r="I44" s="351">
        <f t="shared" si="46"/>
        <v>68.197199999999995</v>
      </c>
      <c r="J44" s="351"/>
      <c r="K44" s="351"/>
      <c r="L44" s="351"/>
      <c r="M44" s="334"/>
      <c r="N44" s="351">
        <f t="shared" ref="N44:AD44" si="47">N45+N46</f>
        <v>68.197199999999995</v>
      </c>
      <c r="O44" s="351">
        <f t="shared" si="47"/>
        <v>68.197199999999995</v>
      </c>
      <c r="P44" s="351">
        <f t="shared" si="47"/>
        <v>68.197199999999995</v>
      </c>
      <c r="Q44" s="351">
        <f t="shared" si="47"/>
        <v>68.197199999999995</v>
      </c>
      <c r="R44" s="351">
        <f t="shared" si="47"/>
        <v>68.197199999999995</v>
      </c>
      <c r="S44" s="351">
        <f t="shared" si="47"/>
        <v>68.197199999999995</v>
      </c>
      <c r="T44" s="351">
        <f t="shared" si="47"/>
        <v>68.197199999999995</v>
      </c>
      <c r="U44" s="351">
        <f t="shared" si="47"/>
        <v>68.197199999999995</v>
      </c>
      <c r="V44" s="351">
        <f t="shared" si="47"/>
        <v>68.197199999999995</v>
      </c>
      <c r="W44" s="351">
        <f t="shared" si="47"/>
        <v>68.197199999999995</v>
      </c>
      <c r="X44" s="351">
        <f t="shared" si="47"/>
        <v>68.197199999999995</v>
      </c>
      <c r="Y44" s="351">
        <f t="shared" si="47"/>
        <v>68.197199999999995</v>
      </c>
      <c r="Z44" s="351">
        <f t="shared" si="47"/>
        <v>68.197199999999995</v>
      </c>
      <c r="AA44" s="351">
        <f t="shared" si="47"/>
        <v>68.197199999999995</v>
      </c>
      <c r="AB44" s="351">
        <f t="shared" si="47"/>
        <v>68.197199999999995</v>
      </c>
      <c r="AC44" s="351">
        <f t="shared" si="47"/>
        <v>68.197199999999995</v>
      </c>
      <c r="AD44" s="351">
        <f t="shared" si="47"/>
        <v>68.197199999999995</v>
      </c>
      <c r="AE44" s="351">
        <f t="shared" si="39"/>
        <v>68.197199999999995</v>
      </c>
      <c r="AG44" s="2" t="s">
        <v>291</v>
      </c>
    </row>
    <row r="45" spans="1:33">
      <c r="A45" s="331" t="s">
        <v>97</v>
      </c>
      <c r="B45" s="310" t="s">
        <v>115</v>
      </c>
      <c r="C45" s="311"/>
      <c r="D45" s="328">
        <v>35.297199999999997</v>
      </c>
      <c r="E45" s="328">
        <v>66.478314960979404</v>
      </c>
      <c r="F45" s="313">
        <f t="shared" si="9"/>
        <v>31.181114960979407</v>
      </c>
      <c r="G45" s="314">
        <f t="shared" si="10"/>
        <v>1.8833877746954266</v>
      </c>
      <c r="H45" s="329"/>
      <c r="I45" s="350">
        <v>35.297199999999997</v>
      </c>
      <c r="J45" s="350"/>
      <c r="K45" s="350"/>
      <c r="L45" s="350"/>
      <c r="M45" s="329"/>
      <c r="N45" s="350">
        <v>35.297199999999997</v>
      </c>
      <c r="O45" s="350">
        <v>35.297199999999997</v>
      </c>
      <c r="P45" s="350">
        <v>35.297199999999997</v>
      </c>
      <c r="Q45" s="350">
        <v>35.297199999999997</v>
      </c>
      <c r="R45" s="350">
        <v>35.297199999999997</v>
      </c>
      <c r="S45" s="350">
        <v>35.297199999999997</v>
      </c>
      <c r="T45" s="350">
        <v>35.297199999999997</v>
      </c>
      <c r="U45" s="350">
        <v>35.297199999999997</v>
      </c>
      <c r="V45" s="350">
        <v>35.297199999999997</v>
      </c>
      <c r="W45" s="350">
        <v>35.297199999999997</v>
      </c>
      <c r="X45" s="350">
        <v>35.297199999999997</v>
      </c>
      <c r="Y45" s="350">
        <v>35.297199999999997</v>
      </c>
      <c r="Z45" s="350">
        <v>35.297199999999997</v>
      </c>
      <c r="AA45" s="350">
        <v>35.297199999999997</v>
      </c>
      <c r="AB45" s="350">
        <v>35.297199999999997</v>
      </c>
      <c r="AC45" s="350">
        <v>35.297199999999997</v>
      </c>
      <c r="AD45" s="350">
        <v>35.297199999999997</v>
      </c>
      <c r="AE45" s="350">
        <f t="shared" si="39"/>
        <v>35.297199999999997</v>
      </c>
      <c r="AG45" s="2" t="s">
        <v>291</v>
      </c>
    </row>
    <row r="46" spans="1:33">
      <c r="A46" s="331" t="s">
        <v>98</v>
      </c>
      <c r="B46" s="310" t="s">
        <v>116</v>
      </c>
      <c r="C46" s="311"/>
      <c r="D46" s="328">
        <v>32.9</v>
      </c>
      <c r="E46" s="328">
        <v>46.264706125075499</v>
      </c>
      <c r="F46" s="313">
        <f t="shared" si="9"/>
        <v>13.3647061250755</v>
      </c>
      <c r="G46" s="314">
        <f t="shared" si="10"/>
        <v>1.4062220706709878</v>
      </c>
      <c r="H46" s="329"/>
      <c r="I46" s="350">
        <v>32.9</v>
      </c>
      <c r="J46" s="350"/>
      <c r="K46" s="350"/>
      <c r="L46" s="350"/>
      <c r="M46" s="329"/>
      <c r="N46" s="350">
        <v>32.9</v>
      </c>
      <c r="O46" s="350">
        <v>32.9</v>
      </c>
      <c r="P46" s="350">
        <v>32.9</v>
      </c>
      <c r="Q46" s="350">
        <v>32.9</v>
      </c>
      <c r="R46" s="350">
        <v>32.9</v>
      </c>
      <c r="S46" s="350">
        <v>32.9</v>
      </c>
      <c r="T46" s="350">
        <v>32.9</v>
      </c>
      <c r="U46" s="350">
        <v>32.9</v>
      </c>
      <c r="V46" s="350">
        <v>32.9</v>
      </c>
      <c r="W46" s="350">
        <v>32.9</v>
      </c>
      <c r="X46" s="350">
        <v>32.9</v>
      </c>
      <c r="Y46" s="350">
        <v>32.9</v>
      </c>
      <c r="Z46" s="350">
        <v>32.9</v>
      </c>
      <c r="AA46" s="350">
        <v>32.9</v>
      </c>
      <c r="AB46" s="350">
        <v>32.9</v>
      </c>
      <c r="AC46" s="350">
        <v>32.9</v>
      </c>
      <c r="AD46" s="350">
        <v>32.9</v>
      </c>
      <c r="AE46" s="350">
        <f t="shared" si="39"/>
        <v>32.9</v>
      </c>
      <c r="AG46" s="2" t="s">
        <v>291</v>
      </c>
    </row>
    <row r="47" spans="1:33" s="295" customFormat="1" ht="16.5">
      <c r="A47" s="303" t="s">
        <v>153</v>
      </c>
      <c r="B47" s="304" t="s">
        <v>154</v>
      </c>
      <c r="C47" s="305" t="s">
        <v>155</v>
      </c>
      <c r="D47" s="335"/>
      <c r="E47" s="335"/>
      <c r="F47" s="307">
        <f t="shared" si="9"/>
        <v>0</v>
      </c>
      <c r="G47" s="308"/>
      <c r="H47" s="336"/>
      <c r="I47" s="343"/>
      <c r="J47" s="343"/>
      <c r="K47" s="343"/>
      <c r="L47" s="343"/>
      <c r="M47" s="336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</row>
    <row r="48" spans="1:33" ht="105">
      <c r="A48" s="331" t="s">
        <v>156</v>
      </c>
      <c r="B48" s="332" t="s">
        <v>157</v>
      </c>
      <c r="C48" s="319" t="s">
        <v>158</v>
      </c>
      <c r="D48" s="337">
        <f>D14</f>
        <v>18908.866977811202</v>
      </c>
      <c r="E48" s="337">
        <f>E14</f>
        <v>19434.206999999999</v>
      </c>
      <c r="F48" s="313">
        <f t="shared" si="9"/>
        <v>525.34002218879687</v>
      </c>
      <c r="G48" s="314">
        <f t="shared" ref="G48:G51" si="48">E48/D48</f>
        <v>1.0277827340371721</v>
      </c>
      <c r="H48" s="320"/>
      <c r="I48" s="352">
        <v>18908.866977811202</v>
      </c>
      <c r="J48" s="352"/>
      <c r="K48" s="352"/>
      <c r="L48" s="352"/>
      <c r="M48" s="320" t="s">
        <v>284</v>
      </c>
      <c r="N48" s="352">
        <v>18908.866977811202</v>
      </c>
      <c r="O48" s="352">
        <v>18908.866977811202</v>
      </c>
      <c r="P48" s="352">
        <v>18908.866977811202</v>
      </c>
      <c r="Q48" s="358">
        <v>19478.36</v>
      </c>
      <c r="R48" s="358">
        <v>19478.36</v>
      </c>
      <c r="S48" s="358">
        <v>19478.36</v>
      </c>
      <c r="T48" s="358">
        <v>19478.36</v>
      </c>
      <c r="U48" s="358">
        <v>19478.36</v>
      </c>
      <c r="V48" s="358">
        <v>19478.36</v>
      </c>
      <c r="W48" s="358">
        <v>19478.36</v>
      </c>
      <c r="X48" s="358">
        <v>19478.36</v>
      </c>
      <c r="Y48" s="358">
        <v>19478.36</v>
      </c>
      <c r="Z48" s="358">
        <v>19478.36</v>
      </c>
      <c r="AA48" s="358">
        <v>19478.36</v>
      </c>
      <c r="AB48" s="358">
        <v>19478.36</v>
      </c>
      <c r="AC48" s="358">
        <v>19478.36</v>
      </c>
      <c r="AD48" s="358">
        <v>19478.36</v>
      </c>
      <c r="AE48" s="358">
        <v>19478.36</v>
      </c>
      <c r="AG48" s="2" t="s">
        <v>285</v>
      </c>
    </row>
    <row r="49" spans="1:33" ht="135">
      <c r="A49" s="331" t="s">
        <v>159</v>
      </c>
      <c r="B49" s="332" t="s">
        <v>160</v>
      </c>
      <c r="C49" s="319" t="s">
        <v>158</v>
      </c>
      <c r="D49" s="337">
        <f>D15</f>
        <v>12482.94</v>
      </c>
      <c r="E49" s="337">
        <f>E15</f>
        <v>12054.220190100001</v>
      </c>
      <c r="F49" s="313">
        <f t="shared" si="9"/>
        <v>-428.71980989999975</v>
      </c>
      <c r="G49" s="314">
        <f t="shared" si="48"/>
        <v>0.96565554189157365</v>
      </c>
      <c r="H49" s="321"/>
      <c r="I49" s="352">
        <v>12482.94</v>
      </c>
      <c r="J49" s="352"/>
      <c r="K49" s="352"/>
      <c r="L49" s="352"/>
      <c r="M49" s="321" t="s">
        <v>286</v>
      </c>
      <c r="N49" s="352">
        <v>12482.94</v>
      </c>
      <c r="O49" s="352">
        <v>12482.94</v>
      </c>
      <c r="P49" s="352">
        <v>12482.94</v>
      </c>
      <c r="Q49" s="358">
        <v>12914.4309422857</v>
      </c>
      <c r="R49" s="358">
        <v>12969.2486125714</v>
      </c>
      <c r="S49" s="358">
        <v>13024.0662828571</v>
      </c>
      <c r="T49" s="358">
        <v>13078.8839531429</v>
      </c>
      <c r="U49" s="358">
        <v>13133.7016234286</v>
      </c>
      <c r="V49" s="358">
        <v>13188.5192937143</v>
      </c>
      <c r="W49" s="358">
        <v>13243.336964</v>
      </c>
      <c r="X49" s="358">
        <v>13298.1546342857</v>
      </c>
      <c r="Y49" s="358">
        <v>13352.9723045714</v>
      </c>
      <c r="Z49" s="358">
        <v>13407.7899748571</v>
      </c>
      <c r="AA49" s="358">
        <v>13462.6076451429</v>
      </c>
      <c r="AB49" s="358">
        <v>13517.4253154286</v>
      </c>
      <c r="AC49" s="358">
        <v>13572.2429857143</v>
      </c>
      <c r="AD49" s="358">
        <v>13627.060656</v>
      </c>
      <c r="AE49" s="358">
        <v>13627.060656</v>
      </c>
      <c r="AG49" s="2" t="s">
        <v>285</v>
      </c>
    </row>
    <row r="50" spans="1:33" s="295" customFormat="1" ht="28.5">
      <c r="A50" s="303" t="s">
        <v>161</v>
      </c>
      <c r="B50" s="304" t="s">
        <v>147</v>
      </c>
      <c r="C50" s="305" t="s">
        <v>155</v>
      </c>
      <c r="D50" s="338"/>
      <c r="E50" s="338"/>
      <c r="F50" s="307">
        <f t="shared" si="9"/>
        <v>0</v>
      </c>
      <c r="G50" s="308"/>
      <c r="H50" s="339"/>
      <c r="I50" s="353"/>
      <c r="J50" s="353"/>
      <c r="K50" s="353"/>
      <c r="L50" s="353"/>
      <c r="M50" s="353"/>
      <c r="N50" s="353"/>
      <c r="O50" s="353"/>
      <c r="P50" s="35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</row>
    <row r="51" spans="1:33" ht="45">
      <c r="A51" s="331" t="s">
        <v>162</v>
      </c>
      <c r="B51" s="332" t="s">
        <v>163</v>
      </c>
      <c r="C51" s="319" t="s">
        <v>158</v>
      </c>
      <c r="D51" s="337">
        <f>D33</f>
        <v>17376.759452999999</v>
      </c>
      <c r="E51" s="337">
        <f>E33</f>
        <v>17684.364000000001</v>
      </c>
      <c r="F51" s="313">
        <f t="shared" si="9"/>
        <v>307.60454700000264</v>
      </c>
      <c r="G51" s="314">
        <f t="shared" si="48"/>
        <v>1.0177020662472769</v>
      </c>
      <c r="H51" s="340"/>
      <c r="I51" s="354">
        <v>17376.759452999999</v>
      </c>
      <c r="J51" s="354"/>
      <c r="K51" s="354"/>
      <c r="L51" s="354"/>
      <c r="M51" s="340" t="s">
        <v>290</v>
      </c>
      <c r="N51" s="354">
        <v>17376.759452999999</v>
      </c>
      <c r="O51" s="354">
        <v>17376.759452999999</v>
      </c>
      <c r="P51" s="354">
        <v>17376.759452999999</v>
      </c>
      <c r="Q51" s="359">
        <f t="shared" ref="Q51:AD51" si="49">Q33</f>
        <v>18352.93</v>
      </c>
      <c r="R51" s="359">
        <f t="shared" si="49"/>
        <v>18352.93</v>
      </c>
      <c r="S51" s="359">
        <f t="shared" si="49"/>
        <v>18352.93</v>
      </c>
      <c r="T51" s="359">
        <f t="shared" si="49"/>
        <v>18352.93</v>
      </c>
      <c r="U51" s="359">
        <f t="shared" si="49"/>
        <v>18352.93</v>
      </c>
      <c r="V51" s="359">
        <f t="shared" si="49"/>
        <v>18352.93</v>
      </c>
      <c r="W51" s="359">
        <f t="shared" si="49"/>
        <v>18352.93</v>
      </c>
      <c r="X51" s="359">
        <f t="shared" si="49"/>
        <v>18352.93</v>
      </c>
      <c r="Y51" s="359">
        <f t="shared" si="49"/>
        <v>18352.93</v>
      </c>
      <c r="Z51" s="359">
        <f t="shared" si="49"/>
        <v>18352.93</v>
      </c>
      <c r="AA51" s="359">
        <f t="shared" si="49"/>
        <v>18352.93</v>
      </c>
      <c r="AB51" s="359">
        <f t="shared" si="49"/>
        <v>18352.93</v>
      </c>
      <c r="AC51" s="359">
        <f t="shared" si="49"/>
        <v>18352.93</v>
      </c>
      <c r="AD51" s="359">
        <f t="shared" si="49"/>
        <v>18352.93</v>
      </c>
      <c r="AE51" s="359">
        <f t="shared" ref="AE51:AE57" si="50">AD51</f>
        <v>18352.93</v>
      </c>
      <c r="AG51" s="2" t="s">
        <v>285</v>
      </c>
    </row>
    <row r="52" spans="1:33" s="295" customFormat="1" ht="14.25">
      <c r="A52" s="303" t="s">
        <v>164</v>
      </c>
      <c r="B52" s="304" t="s">
        <v>165</v>
      </c>
      <c r="C52" s="305" t="s">
        <v>16</v>
      </c>
      <c r="D52" s="338"/>
      <c r="E52" s="338"/>
      <c r="F52" s="307">
        <f t="shared" si="9"/>
        <v>0</v>
      </c>
      <c r="G52" s="308"/>
      <c r="H52" s="339"/>
      <c r="I52" s="353"/>
      <c r="J52" s="353"/>
      <c r="K52" s="353"/>
      <c r="L52" s="353"/>
      <c r="M52" s="339"/>
      <c r="N52" s="353"/>
      <c r="O52" s="353"/>
      <c r="P52" s="35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</row>
    <row r="53" spans="1:33" ht="75">
      <c r="A53" s="125" t="s">
        <v>166</v>
      </c>
      <c r="B53" s="318" t="s">
        <v>167</v>
      </c>
      <c r="C53" s="341" t="s">
        <v>16</v>
      </c>
      <c r="D53" s="342">
        <f>D16</f>
        <v>33.983670123396443</v>
      </c>
      <c r="E53" s="342">
        <f>E16</f>
        <v>37.974211193181169</v>
      </c>
      <c r="F53" s="313">
        <f t="shared" si="9"/>
        <v>3.9905410697847259</v>
      </c>
      <c r="G53" s="314">
        <f>E53/D53</f>
        <v>1.1174252532258837</v>
      </c>
      <c r="H53" s="316"/>
      <c r="I53" s="172">
        <v>0.33983670123396398</v>
      </c>
      <c r="J53" s="172"/>
      <c r="K53" s="172"/>
      <c r="L53" s="172"/>
      <c r="M53" s="316" t="s">
        <v>287</v>
      </c>
      <c r="N53" s="172">
        <v>0.33983670123396398</v>
      </c>
      <c r="O53" s="172">
        <v>0.33983670123396398</v>
      </c>
      <c r="P53" s="172">
        <v>0.33983670123396398</v>
      </c>
      <c r="Q53" s="360">
        <f t="shared" ref="Q53:AD53" si="51">Q54/Q14</f>
        <v>0.336985714285715</v>
      </c>
      <c r="R53" s="360">
        <f t="shared" si="51"/>
        <v>0.33417142857143006</v>
      </c>
      <c r="S53" s="360">
        <f t="shared" si="51"/>
        <v>0.33135714285714507</v>
      </c>
      <c r="T53" s="360">
        <f t="shared" si="51"/>
        <v>0.32854285714285497</v>
      </c>
      <c r="U53" s="360">
        <f t="shared" si="51"/>
        <v>0.32572857142856998</v>
      </c>
      <c r="V53" s="360">
        <f t="shared" si="51"/>
        <v>0.32291428571428499</v>
      </c>
      <c r="W53" s="360">
        <f t="shared" si="51"/>
        <v>0.3201</v>
      </c>
      <c r="X53" s="360">
        <f t="shared" si="51"/>
        <v>0.31728571428571506</v>
      </c>
      <c r="Y53" s="360">
        <f t="shared" si="51"/>
        <v>0.31447142857143007</v>
      </c>
      <c r="Z53" s="360">
        <f t="shared" si="51"/>
        <v>0.31165714285714508</v>
      </c>
      <c r="AA53" s="360">
        <f t="shared" si="51"/>
        <v>0.30884285714285498</v>
      </c>
      <c r="AB53" s="360">
        <f t="shared" si="51"/>
        <v>0.30602857142856998</v>
      </c>
      <c r="AC53" s="360">
        <f t="shared" si="51"/>
        <v>0.30321428571428499</v>
      </c>
      <c r="AD53" s="360">
        <f t="shared" si="51"/>
        <v>0.30040000000000006</v>
      </c>
      <c r="AE53" s="360">
        <f t="shared" si="50"/>
        <v>0.30040000000000006</v>
      </c>
      <c r="AG53" s="2" t="s">
        <v>285</v>
      </c>
    </row>
    <row r="54" spans="1:33" ht="75">
      <c r="A54" s="125" t="s">
        <v>168</v>
      </c>
      <c r="B54" s="318" t="s">
        <v>169</v>
      </c>
      <c r="C54" s="341" t="s">
        <v>158</v>
      </c>
      <c r="D54" s="337">
        <f>D13</f>
        <v>6425.9269778112011</v>
      </c>
      <c r="E54" s="337">
        <f>E13</f>
        <v>7379.9868098999978</v>
      </c>
      <c r="F54" s="313">
        <f t="shared" si="9"/>
        <v>954.05983208879661</v>
      </c>
      <c r="G54" s="314">
        <f>E54/D54</f>
        <v>1.1484703818426782</v>
      </c>
      <c r="H54" s="316"/>
      <c r="I54" s="352">
        <v>6425.9269778112002</v>
      </c>
      <c r="J54" s="352"/>
      <c r="K54" s="352"/>
      <c r="L54" s="352"/>
      <c r="M54" s="316" t="s">
        <v>283</v>
      </c>
      <c r="N54" s="352">
        <v>6425.9269778112002</v>
      </c>
      <c r="O54" s="352">
        <v>6425.9269778112002</v>
      </c>
      <c r="P54" s="352">
        <v>6425.9269778112002</v>
      </c>
      <c r="Q54" s="358">
        <f t="shared" ref="Q54:AD54" si="52">Q13</f>
        <v>6563.9290577143001</v>
      </c>
      <c r="R54" s="358">
        <f t="shared" si="52"/>
        <v>6509.1113874286002</v>
      </c>
      <c r="S54" s="358">
        <f t="shared" si="52"/>
        <v>6454.2937171429003</v>
      </c>
      <c r="T54" s="358">
        <f t="shared" si="52"/>
        <v>6399.4760468571003</v>
      </c>
      <c r="U54" s="358">
        <f t="shared" si="52"/>
        <v>6344.6583765714004</v>
      </c>
      <c r="V54" s="358">
        <f t="shared" si="52"/>
        <v>6289.8407062857004</v>
      </c>
      <c r="W54" s="358">
        <f t="shared" si="52"/>
        <v>6235.0230360000005</v>
      </c>
      <c r="X54" s="358">
        <f t="shared" si="52"/>
        <v>6180.2053657143006</v>
      </c>
      <c r="Y54" s="358">
        <f t="shared" si="52"/>
        <v>6125.3876954286006</v>
      </c>
      <c r="Z54" s="358">
        <f t="shared" si="52"/>
        <v>6070.5700251429007</v>
      </c>
      <c r="AA54" s="358">
        <f t="shared" si="52"/>
        <v>6015.7523548571007</v>
      </c>
      <c r="AB54" s="358">
        <f t="shared" si="52"/>
        <v>5960.9346845714008</v>
      </c>
      <c r="AC54" s="358">
        <f t="shared" si="52"/>
        <v>5906.1170142857009</v>
      </c>
      <c r="AD54" s="358">
        <f t="shared" si="52"/>
        <v>5851.2993440000009</v>
      </c>
      <c r="AE54" s="358">
        <f t="shared" si="50"/>
        <v>5851.2993440000009</v>
      </c>
      <c r="AG54" s="2" t="s">
        <v>285</v>
      </c>
    </row>
    <row r="55" spans="1:33" s="295" customFormat="1" ht="28.5">
      <c r="A55" s="303" t="s">
        <v>170</v>
      </c>
      <c r="B55" s="304" t="s">
        <v>171</v>
      </c>
      <c r="C55" s="305" t="s">
        <v>114</v>
      </c>
      <c r="D55" s="306">
        <f t="shared" ref="D55:I55" si="53">D56+D57</f>
        <v>0</v>
      </c>
      <c r="E55" s="306">
        <f t="shared" si="53"/>
        <v>0</v>
      </c>
      <c r="F55" s="307">
        <f t="shared" si="9"/>
        <v>0</v>
      </c>
      <c r="G55" s="308">
        <v>1</v>
      </c>
      <c r="H55" s="309"/>
      <c r="I55" s="348">
        <f t="shared" si="53"/>
        <v>0</v>
      </c>
      <c r="J55" s="348"/>
      <c r="K55" s="348"/>
      <c r="L55" s="348"/>
      <c r="M55" s="348"/>
      <c r="N55" s="348">
        <f t="shared" ref="N55:AD55" si="54">N56+N57</f>
        <v>0</v>
      </c>
      <c r="O55" s="348">
        <f t="shared" si="54"/>
        <v>0</v>
      </c>
      <c r="P55" s="348">
        <f t="shared" si="54"/>
        <v>0</v>
      </c>
      <c r="Q55" s="348">
        <f t="shared" si="54"/>
        <v>0</v>
      </c>
      <c r="R55" s="348">
        <f t="shared" si="54"/>
        <v>0</v>
      </c>
      <c r="S55" s="348">
        <f t="shared" si="54"/>
        <v>0</v>
      </c>
      <c r="T55" s="348">
        <f t="shared" si="54"/>
        <v>0</v>
      </c>
      <c r="U55" s="348">
        <f t="shared" si="54"/>
        <v>0</v>
      </c>
      <c r="V55" s="348">
        <f t="shared" si="54"/>
        <v>0</v>
      </c>
      <c r="W55" s="348">
        <f t="shared" si="54"/>
        <v>0</v>
      </c>
      <c r="X55" s="348">
        <f t="shared" si="54"/>
        <v>0</v>
      </c>
      <c r="Y55" s="348">
        <f t="shared" si="54"/>
        <v>0</v>
      </c>
      <c r="Z55" s="348">
        <f t="shared" si="54"/>
        <v>0</v>
      </c>
      <c r="AA55" s="348">
        <f t="shared" si="54"/>
        <v>0</v>
      </c>
      <c r="AB55" s="348">
        <f t="shared" si="54"/>
        <v>0</v>
      </c>
      <c r="AC55" s="348">
        <f t="shared" si="54"/>
        <v>0</v>
      </c>
      <c r="AD55" s="348">
        <f t="shared" si="54"/>
        <v>0</v>
      </c>
      <c r="AE55" s="348">
        <f t="shared" si="50"/>
        <v>0</v>
      </c>
    </row>
    <row r="56" spans="1:33">
      <c r="A56" s="125" t="s">
        <v>172</v>
      </c>
      <c r="B56" s="310" t="s">
        <v>115</v>
      </c>
      <c r="C56" s="319" t="s">
        <v>114</v>
      </c>
      <c r="D56" s="325">
        <v>0</v>
      </c>
      <c r="E56" s="325">
        <v>0</v>
      </c>
      <c r="F56" s="313">
        <v>0</v>
      </c>
      <c r="G56" s="314">
        <v>1</v>
      </c>
      <c r="H56" s="326"/>
      <c r="I56" s="346">
        <v>0</v>
      </c>
      <c r="J56" s="346"/>
      <c r="K56" s="346"/>
      <c r="L56" s="346"/>
      <c r="M56" s="346"/>
      <c r="N56" s="346">
        <v>0</v>
      </c>
      <c r="O56" s="346">
        <v>0</v>
      </c>
      <c r="P56" s="346">
        <v>0</v>
      </c>
      <c r="Q56" s="346">
        <v>0</v>
      </c>
      <c r="R56" s="346">
        <v>0</v>
      </c>
      <c r="S56" s="346">
        <v>0</v>
      </c>
      <c r="T56" s="346">
        <v>0</v>
      </c>
      <c r="U56" s="346">
        <v>0</v>
      </c>
      <c r="V56" s="346">
        <v>0</v>
      </c>
      <c r="W56" s="346">
        <v>0</v>
      </c>
      <c r="X56" s="346">
        <v>0</v>
      </c>
      <c r="Y56" s="346">
        <v>0</v>
      </c>
      <c r="Z56" s="346">
        <v>0</v>
      </c>
      <c r="AA56" s="346">
        <v>0</v>
      </c>
      <c r="AB56" s="346">
        <v>0</v>
      </c>
      <c r="AC56" s="346">
        <v>0</v>
      </c>
      <c r="AD56" s="346">
        <v>0</v>
      </c>
      <c r="AE56" s="346">
        <f t="shared" si="50"/>
        <v>0</v>
      </c>
      <c r="AG56" s="2" t="s">
        <v>292</v>
      </c>
    </row>
    <row r="57" spans="1:33">
      <c r="A57" s="125" t="s">
        <v>173</v>
      </c>
      <c r="B57" s="310" t="s">
        <v>116</v>
      </c>
      <c r="C57" s="319" t="s">
        <v>114</v>
      </c>
      <c r="D57" s="325">
        <v>0</v>
      </c>
      <c r="E57" s="325">
        <v>0</v>
      </c>
      <c r="F57" s="313">
        <v>0</v>
      </c>
      <c r="G57" s="314">
        <v>1</v>
      </c>
      <c r="H57" s="326"/>
      <c r="I57" s="346">
        <v>0</v>
      </c>
      <c r="J57" s="346"/>
      <c r="K57" s="346"/>
      <c r="L57" s="346"/>
      <c r="M57" s="346"/>
      <c r="N57" s="346">
        <v>0</v>
      </c>
      <c r="O57" s="346">
        <v>0</v>
      </c>
      <c r="P57" s="346">
        <v>0</v>
      </c>
      <c r="Q57" s="346">
        <v>0</v>
      </c>
      <c r="R57" s="346">
        <v>0</v>
      </c>
      <c r="S57" s="346">
        <v>0</v>
      </c>
      <c r="T57" s="346">
        <v>0</v>
      </c>
      <c r="U57" s="346">
        <v>0</v>
      </c>
      <c r="V57" s="346">
        <v>0</v>
      </c>
      <c r="W57" s="346">
        <v>0</v>
      </c>
      <c r="X57" s="346">
        <v>0</v>
      </c>
      <c r="Y57" s="346">
        <v>0</v>
      </c>
      <c r="Z57" s="346">
        <v>0</v>
      </c>
      <c r="AA57" s="346">
        <v>0</v>
      </c>
      <c r="AB57" s="346">
        <v>0</v>
      </c>
      <c r="AC57" s="346">
        <v>0</v>
      </c>
      <c r="AD57" s="346">
        <v>0</v>
      </c>
      <c r="AE57" s="346">
        <f t="shared" si="50"/>
        <v>0</v>
      </c>
      <c r="AG57" s="2" t="s">
        <v>292</v>
      </c>
    </row>
    <row r="58" spans="1:33" s="295" customFormat="1" ht="14.25">
      <c r="A58" s="585" t="s">
        <v>174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</row>
    <row r="59" spans="1:33" s="295" customFormat="1" ht="57">
      <c r="A59" s="303" t="s">
        <v>175</v>
      </c>
      <c r="B59" s="304" t="s">
        <v>176</v>
      </c>
      <c r="C59" s="305"/>
      <c r="D59" s="335" t="s">
        <v>29</v>
      </c>
      <c r="E59" s="335"/>
      <c r="F59" s="343"/>
      <c r="G59" s="343"/>
      <c r="H59" s="336"/>
      <c r="I59" s="343" t="s">
        <v>29</v>
      </c>
      <c r="J59" s="343"/>
      <c r="K59" s="343"/>
      <c r="L59" s="343"/>
      <c r="M59" s="343"/>
      <c r="N59" s="343" t="s">
        <v>29</v>
      </c>
      <c r="O59" s="343" t="s">
        <v>29</v>
      </c>
      <c r="P59" s="343" t="s">
        <v>29</v>
      </c>
      <c r="Q59" s="343" t="s">
        <v>29</v>
      </c>
      <c r="R59" s="343" t="s">
        <v>29</v>
      </c>
      <c r="S59" s="343" t="s">
        <v>29</v>
      </c>
      <c r="T59" s="343" t="s">
        <v>29</v>
      </c>
      <c r="U59" s="343" t="s">
        <v>29</v>
      </c>
      <c r="V59" s="343" t="s">
        <v>29</v>
      </c>
      <c r="W59" s="343" t="s">
        <v>29</v>
      </c>
      <c r="X59" s="343" t="s">
        <v>29</v>
      </c>
      <c r="Y59" s="343" t="s">
        <v>29</v>
      </c>
      <c r="Z59" s="343" t="s">
        <v>29</v>
      </c>
      <c r="AA59" s="343" t="s">
        <v>29</v>
      </c>
      <c r="AB59" s="343" t="s">
        <v>29</v>
      </c>
      <c r="AC59" s="343" t="s">
        <v>29</v>
      </c>
      <c r="AD59" s="343" t="s">
        <v>29</v>
      </c>
      <c r="AE59" s="343" t="str">
        <f t="shared" ref="AE59:AE61" si="55">AD59</f>
        <v>х</v>
      </c>
    </row>
    <row r="60" spans="1:33">
      <c r="A60" s="317" t="s">
        <v>177</v>
      </c>
      <c r="B60" s="318" t="s">
        <v>178</v>
      </c>
      <c r="C60" s="319" t="s">
        <v>16</v>
      </c>
      <c r="D60" s="344">
        <v>96</v>
      </c>
      <c r="E60" s="344">
        <v>100</v>
      </c>
      <c r="F60" s="344">
        <f>E60-D60</f>
        <v>4</v>
      </c>
      <c r="G60" s="314">
        <f>E60/D60</f>
        <v>1.0416666666666667</v>
      </c>
      <c r="H60" s="345"/>
      <c r="I60" s="347">
        <v>0.96</v>
      </c>
      <c r="J60" s="347"/>
      <c r="K60" s="347"/>
      <c r="L60" s="347"/>
      <c r="M60" s="347"/>
      <c r="N60" s="347">
        <v>0.96</v>
      </c>
      <c r="O60" s="347">
        <v>0.96</v>
      </c>
      <c r="P60" s="347">
        <v>0.96</v>
      </c>
      <c r="Q60" s="347">
        <v>0.97</v>
      </c>
      <c r="R60" s="347">
        <v>0.97</v>
      </c>
      <c r="S60" s="347">
        <v>0.97</v>
      </c>
      <c r="T60" s="347">
        <v>0.97</v>
      </c>
      <c r="U60" s="347">
        <v>0.97</v>
      </c>
      <c r="V60" s="347">
        <v>0.98</v>
      </c>
      <c r="W60" s="347">
        <v>0.98</v>
      </c>
      <c r="X60" s="347">
        <v>0.98</v>
      </c>
      <c r="Y60" s="347">
        <v>0.98</v>
      </c>
      <c r="Z60" s="347">
        <v>0.98</v>
      </c>
      <c r="AA60" s="314">
        <v>0.99</v>
      </c>
      <c r="AB60" s="314">
        <v>0.99</v>
      </c>
      <c r="AC60" s="314">
        <v>0.99</v>
      </c>
      <c r="AD60" s="314">
        <v>0.99</v>
      </c>
      <c r="AE60" s="314">
        <f t="shared" si="55"/>
        <v>0.99</v>
      </c>
      <c r="AG60" s="2" t="s">
        <v>293</v>
      </c>
    </row>
    <row r="61" spans="1:33" ht="30">
      <c r="A61" s="317" t="s">
        <v>179</v>
      </c>
      <c r="B61" s="318" t="s">
        <v>180</v>
      </c>
      <c r="C61" s="319" t="s">
        <v>16</v>
      </c>
      <c r="D61" s="344">
        <v>96</v>
      </c>
      <c r="E61" s="344">
        <v>100</v>
      </c>
      <c r="F61" s="344">
        <f>E61-D61</f>
        <v>4</v>
      </c>
      <c r="G61" s="314">
        <f>E61/D61</f>
        <v>1.0416666666666667</v>
      </c>
      <c r="H61" s="345"/>
      <c r="I61" s="347">
        <v>0.96</v>
      </c>
      <c r="J61" s="347"/>
      <c r="K61" s="347"/>
      <c r="L61" s="347"/>
      <c r="M61" s="347"/>
      <c r="N61" s="347">
        <v>0.96</v>
      </c>
      <c r="O61" s="347">
        <v>0.96</v>
      </c>
      <c r="P61" s="347">
        <v>0.96</v>
      </c>
      <c r="Q61" s="347">
        <v>0.97</v>
      </c>
      <c r="R61" s="347">
        <v>0.97</v>
      </c>
      <c r="S61" s="347">
        <v>0.97</v>
      </c>
      <c r="T61" s="347">
        <v>0.97</v>
      </c>
      <c r="U61" s="347">
        <v>0.97</v>
      </c>
      <c r="V61" s="347">
        <v>0.98</v>
      </c>
      <c r="W61" s="347">
        <v>0.98</v>
      </c>
      <c r="X61" s="347">
        <v>0.98</v>
      </c>
      <c r="Y61" s="347">
        <v>0.98</v>
      </c>
      <c r="Z61" s="347">
        <v>0.98</v>
      </c>
      <c r="AA61" s="314">
        <v>0.99</v>
      </c>
      <c r="AB61" s="314">
        <v>0.99</v>
      </c>
      <c r="AC61" s="314">
        <v>0.99</v>
      </c>
      <c r="AD61" s="314">
        <v>0.99</v>
      </c>
      <c r="AE61" s="314">
        <f t="shared" si="55"/>
        <v>0.99</v>
      </c>
      <c r="AG61" s="2" t="s">
        <v>293</v>
      </c>
    </row>
    <row r="62" spans="1:33">
      <c r="A62" s="317" t="s">
        <v>181</v>
      </c>
      <c r="B62" s="310" t="s">
        <v>182</v>
      </c>
      <c r="C62" s="319" t="s">
        <v>183</v>
      </c>
      <c r="D62" s="325" t="s">
        <v>184</v>
      </c>
      <c r="E62" s="314" t="s">
        <v>184</v>
      </c>
      <c r="F62" s="346">
        <v>0</v>
      </c>
      <c r="G62" s="314">
        <v>1</v>
      </c>
      <c r="H62" s="326"/>
      <c r="I62" s="346" t="s">
        <v>184</v>
      </c>
      <c r="J62" s="346"/>
      <c r="K62" s="346"/>
      <c r="L62" s="346"/>
      <c r="M62" s="346"/>
      <c r="N62" s="346" t="s">
        <v>184</v>
      </c>
      <c r="O62" s="346" t="s">
        <v>184</v>
      </c>
      <c r="P62" s="346" t="s">
        <v>184</v>
      </c>
      <c r="Q62" s="346" t="s">
        <v>184</v>
      </c>
      <c r="R62" s="346" t="s">
        <v>184</v>
      </c>
      <c r="S62" s="346" t="s">
        <v>184</v>
      </c>
      <c r="T62" s="346" t="s">
        <v>184</v>
      </c>
      <c r="U62" s="346" t="s">
        <v>184</v>
      </c>
      <c r="V62" s="346" t="s">
        <v>184</v>
      </c>
      <c r="W62" s="346" t="s">
        <v>184</v>
      </c>
      <c r="X62" s="346" t="s">
        <v>184</v>
      </c>
      <c r="Y62" s="346" t="s">
        <v>184</v>
      </c>
      <c r="Z62" s="346" t="s">
        <v>184</v>
      </c>
      <c r="AA62" s="346" t="s">
        <v>184</v>
      </c>
      <c r="AB62" s="346" t="s">
        <v>184</v>
      </c>
      <c r="AC62" s="346" t="s">
        <v>184</v>
      </c>
      <c r="AD62" s="346" t="s">
        <v>184</v>
      </c>
      <c r="AE62" s="346" t="s">
        <v>184</v>
      </c>
      <c r="AG62" s="2" t="s">
        <v>293</v>
      </c>
    </row>
    <row r="63" spans="1:33">
      <c r="A63" s="317" t="s">
        <v>185</v>
      </c>
      <c r="B63" s="310" t="s">
        <v>186</v>
      </c>
      <c r="C63" s="319" t="s">
        <v>187</v>
      </c>
      <c r="D63" s="325" t="s">
        <v>188</v>
      </c>
      <c r="E63" s="347" t="s">
        <v>188</v>
      </c>
      <c r="F63" s="346">
        <v>0</v>
      </c>
      <c r="G63" s="314">
        <v>1</v>
      </c>
      <c r="H63" s="326"/>
      <c r="I63" s="346" t="s">
        <v>188</v>
      </c>
      <c r="J63" s="346"/>
      <c r="K63" s="346"/>
      <c r="L63" s="346"/>
      <c r="M63" s="346"/>
      <c r="N63" s="346" t="s">
        <v>188</v>
      </c>
      <c r="O63" s="346" t="s">
        <v>188</v>
      </c>
      <c r="P63" s="346" t="s">
        <v>188</v>
      </c>
      <c r="Q63" s="346" t="s">
        <v>188</v>
      </c>
      <c r="R63" s="346" t="s">
        <v>188</v>
      </c>
      <c r="S63" s="346" t="s">
        <v>188</v>
      </c>
      <c r="T63" s="346" t="s">
        <v>188</v>
      </c>
      <c r="U63" s="346" t="s">
        <v>188</v>
      </c>
      <c r="V63" s="346" t="s">
        <v>188</v>
      </c>
      <c r="W63" s="346" t="s">
        <v>188</v>
      </c>
      <c r="X63" s="346" t="s">
        <v>188</v>
      </c>
      <c r="Y63" s="346" t="s">
        <v>188</v>
      </c>
      <c r="Z63" s="346" t="s">
        <v>188</v>
      </c>
      <c r="AA63" s="346" t="s">
        <v>188</v>
      </c>
      <c r="AB63" s="346" t="s">
        <v>188</v>
      </c>
      <c r="AC63" s="346" t="s">
        <v>188</v>
      </c>
      <c r="AD63" s="346" t="s">
        <v>188</v>
      </c>
      <c r="AE63" s="346" t="s">
        <v>188</v>
      </c>
      <c r="AG63" s="2" t="s">
        <v>293</v>
      </c>
    </row>
    <row r="64" spans="1:33">
      <c r="A64" s="317" t="s">
        <v>190</v>
      </c>
      <c r="B64" s="310" t="s">
        <v>191</v>
      </c>
      <c r="C64" s="319" t="s">
        <v>192</v>
      </c>
      <c r="D64" s="325" t="s">
        <v>193</v>
      </c>
      <c r="E64" s="314" t="s">
        <v>193</v>
      </c>
      <c r="F64" s="346">
        <v>0</v>
      </c>
      <c r="G64" s="314">
        <v>1</v>
      </c>
      <c r="H64" s="326"/>
      <c r="I64" s="346" t="s">
        <v>193</v>
      </c>
      <c r="J64" s="346"/>
      <c r="K64" s="346"/>
      <c r="L64" s="346"/>
      <c r="M64" s="346"/>
      <c r="N64" s="346" t="s">
        <v>193</v>
      </c>
      <c r="O64" s="346" t="s">
        <v>193</v>
      </c>
      <c r="P64" s="346" t="s">
        <v>193</v>
      </c>
      <c r="Q64" s="346" t="s">
        <v>193</v>
      </c>
      <c r="R64" s="346" t="s">
        <v>193</v>
      </c>
      <c r="S64" s="346" t="s">
        <v>193</v>
      </c>
      <c r="T64" s="346" t="s">
        <v>193</v>
      </c>
      <c r="U64" s="346" t="s">
        <v>193</v>
      </c>
      <c r="V64" s="346" t="s">
        <v>193</v>
      </c>
      <c r="W64" s="346" t="s">
        <v>193</v>
      </c>
      <c r="X64" s="346" t="s">
        <v>193</v>
      </c>
      <c r="Y64" s="346" t="s">
        <v>193</v>
      </c>
      <c r="Z64" s="346" t="s">
        <v>193</v>
      </c>
      <c r="AA64" s="346" t="s">
        <v>193</v>
      </c>
      <c r="AB64" s="346" t="s">
        <v>193</v>
      </c>
      <c r="AC64" s="346" t="s">
        <v>193</v>
      </c>
      <c r="AD64" s="346" t="s">
        <v>193</v>
      </c>
      <c r="AE64" s="346" t="s">
        <v>193</v>
      </c>
      <c r="AG64" s="2" t="s">
        <v>293</v>
      </c>
    </row>
    <row r="65" spans="1:33">
      <c r="A65" s="317" t="s">
        <v>194</v>
      </c>
      <c r="B65" s="310" t="s">
        <v>195</v>
      </c>
      <c r="C65" s="319" t="s">
        <v>196</v>
      </c>
      <c r="D65" s="325" t="s">
        <v>197</v>
      </c>
      <c r="E65" s="314" t="s">
        <v>197</v>
      </c>
      <c r="F65" s="346">
        <v>0</v>
      </c>
      <c r="G65" s="314">
        <v>1</v>
      </c>
      <c r="H65" s="326"/>
      <c r="I65" s="346" t="s">
        <v>197</v>
      </c>
      <c r="J65" s="346"/>
      <c r="K65" s="346"/>
      <c r="L65" s="346"/>
      <c r="M65" s="346"/>
      <c r="N65" s="346" t="s">
        <v>197</v>
      </c>
      <c r="O65" s="346" t="s">
        <v>197</v>
      </c>
      <c r="P65" s="346" t="s">
        <v>197</v>
      </c>
      <c r="Q65" s="346" t="s">
        <v>197</v>
      </c>
      <c r="R65" s="346" t="s">
        <v>197</v>
      </c>
      <c r="S65" s="346" t="s">
        <v>197</v>
      </c>
      <c r="T65" s="346" t="s">
        <v>197</v>
      </c>
      <c r="U65" s="346" t="s">
        <v>197</v>
      </c>
      <c r="V65" s="346" t="s">
        <v>197</v>
      </c>
      <c r="W65" s="346" t="s">
        <v>197</v>
      </c>
      <c r="X65" s="346" t="s">
        <v>197</v>
      </c>
      <c r="Y65" s="346" t="s">
        <v>197</v>
      </c>
      <c r="Z65" s="346" t="s">
        <v>197</v>
      </c>
      <c r="AA65" s="346" t="s">
        <v>197</v>
      </c>
      <c r="AB65" s="346" t="s">
        <v>197</v>
      </c>
      <c r="AC65" s="346" t="s">
        <v>197</v>
      </c>
      <c r="AD65" s="346" t="s">
        <v>197</v>
      </c>
      <c r="AE65" s="346" t="s">
        <v>197</v>
      </c>
      <c r="AG65" s="2" t="s">
        <v>293</v>
      </c>
    </row>
    <row r="66" spans="1:33">
      <c r="A66" s="317" t="s">
        <v>198</v>
      </c>
      <c r="B66" s="310" t="s">
        <v>199</v>
      </c>
      <c r="C66" s="319" t="s">
        <v>200</v>
      </c>
      <c r="D66" s="325" t="s">
        <v>201</v>
      </c>
      <c r="E66" s="314" t="s">
        <v>201</v>
      </c>
      <c r="F66" s="346">
        <v>0</v>
      </c>
      <c r="G66" s="314">
        <v>1</v>
      </c>
      <c r="H66" s="326"/>
      <c r="I66" s="346" t="s">
        <v>201</v>
      </c>
      <c r="J66" s="346"/>
      <c r="K66" s="346"/>
      <c r="L66" s="346"/>
      <c r="M66" s="346"/>
      <c r="N66" s="346" t="s">
        <v>201</v>
      </c>
      <c r="O66" s="346" t="s">
        <v>201</v>
      </c>
      <c r="P66" s="346" t="s">
        <v>201</v>
      </c>
      <c r="Q66" s="346" t="s">
        <v>201</v>
      </c>
      <c r="R66" s="346" t="s">
        <v>201</v>
      </c>
      <c r="S66" s="346" t="s">
        <v>201</v>
      </c>
      <c r="T66" s="346" t="s">
        <v>201</v>
      </c>
      <c r="U66" s="346" t="s">
        <v>201</v>
      </c>
      <c r="V66" s="346" t="s">
        <v>201</v>
      </c>
      <c r="W66" s="346" t="s">
        <v>201</v>
      </c>
      <c r="X66" s="346" t="s">
        <v>201</v>
      </c>
      <c r="Y66" s="346" t="s">
        <v>201</v>
      </c>
      <c r="Z66" s="346" t="s">
        <v>201</v>
      </c>
      <c r="AA66" s="346" t="s">
        <v>201</v>
      </c>
      <c r="AB66" s="346" t="s">
        <v>201</v>
      </c>
      <c r="AC66" s="346" t="s">
        <v>201</v>
      </c>
      <c r="AD66" s="346" t="s">
        <v>201</v>
      </c>
      <c r="AE66" s="346" t="s">
        <v>201</v>
      </c>
      <c r="AG66" s="2" t="s">
        <v>293</v>
      </c>
    </row>
    <row r="67" spans="1:33">
      <c r="A67" s="317" t="s">
        <v>202</v>
      </c>
      <c r="B67" s="310" t="s">
        <v>203</v>
      </c>
      <c r="C67" s="319" t="s">
        <v>200</v>
      </c>
      <c r="D67" s="325" t="s">
        <v>204</v>
      </c>
      <c r="E67" s="314" t="s">
        <v>204</v>
      </c>
      <c r="F67" s="346">
        <v>0</v>
      </c>
      <c r="G67" s="314">
        <v>1</v>
      </c>
      <c r="H67" s="326"/>
      <c r="I67" s="346" t="s">
        <v>204</v>
      </c>
      <c r="J67" s="346"/>
      <c r="K67" s="346"/>
      <c r="L67" s="346"/>
      <c r="M67" s="346"/>
      <c r="N67" s="346" t="s">
        <v>204</v>
      </c>
      <c r="O67" s="346" t="s">
        <v>204</v>
      </c>
      <c r="P67" s="346" t="s">
        <v>204</v>
      </c>
      <c r="Q67" s="346" t="s">
        <v>204</v>
      </c>
      <c r="R67" s="346" t="s">
        <v>204</v>
      </c>
      <c r="S67" s="346" t="s">
        <v>204</v>
      </c>
      <c r="T67" s="346" t="s">
        <v>204</v>
      </c>
      <c r="U67" s="346" t="s">
        <v>204</v>
      </c>
      <c r="V67" s="346" t="s">
        <v>204</v>
      </c>
      <c r="W67" s="346" t="s">
        <v>204</v>
      </c>
      <c r="X67" s="346" t="s">
        <v>204</v>
      </c>
      <c r="Y67" s="346" t="s">
        <v>204</v>
      </c>
      <c r="Z67" s="346" t="s">
        <v>204</v>
      </c>
      <c r="AA67" s="346" t="s">
        <v>204</v>
      </c>
      <c r="AB67" s="346" t="s">
        <v>204</v>
      </c>
      <c r="AC67" s="346" t="s">
        <v>204</v>
      </c>
      <c r="AD67" s="346" t="s">
        <v>204</v>
      </c>
      <c r="AE67" s="346" t="s">
        <v>204</v>
      </c>
      <c r="AG67" s="2" t="s">
        <v>293</v>
      </c>
    </row>
    <row r="68" spans="1:33" s="295" customFormat="1" ht="42.75">
      <c r="A68" s="361" t="s">
        <v>206</v>
      </c>
      <c r="B68" s="362" t="s">
        <v>207</v>
      </c>
      <c r="C68" s="363" t="s">
        <v>16</v>
      </c>
      <c r="D68" s="364">
        <v>100</v>
      </c>
      <c r="E68" s="364">
        <v>100</v>
      </c>
      <c r="F68" s="322">
        <f>E68-D68</f>
        <v>0</v>
      </c>
      <c r="G68" s="314">
        <f>E68/D68</f>
        <v>1</v>
      </c>
      <c r="H68" s="365"/>
      <c r="I68" s="349">
        <v>1</v>
      </c>
      <c r="J68" s="349"/>
      <c r="K68" s="349"/>
      <c r="L68" s="349"/>
      <c r="M68" s="349"/>
      <c r="N68" s="349">
        <v>1</v>
      </c>
      <c r="O68" s="349">
        <v>1</v>
      </c>
      <c r="P68" s="349">
        <v>1</v>
      </c>
      <c r="Q68" s="349">
        <v>1</v>
      </c>
      <c r="R68" s="349">
        <v>1</v>
      </c>
      <c r="S68" s="349">
        <v>1</v>
      </c>
      <c r="T68" s="349">
        <v>1</v>
      </c>
      <c r="U68" s="349">
        <v>1</v>
      </c>
      <c r="V68" s="349">
        <v>1</v>
      </c>
      <c r="W68" s="349">
        <v>1</v>
      </c>
      <c r="X68" s="349">
        <v>1</v>
      </c>
      <c r="Y68" s="349">
        <v>1</v>
      </c>
      <c r="Z68" s="349">
        <v>1</v>
      </c>
      <c r="AA68" s="349">
        <v>1</v>
      </c>
      <c r="AB68" s="349">
        <v>1</v>
      </c>
      <c r="AC68" s="349">
        <v>1</v>
      </c>
      <c r="AD68" s="349">
        <v>1</v>
      </c>
      <c r="AE68" s="349">
        <f>AD68</f>
        <v>1</v>
      </c>
      <c r="AG68" s="295" t="s">
        <v>293</v>
      </c>
    </row>
    <row r="69" spans="1:33" s="295" customFormat="1" ht="28.5">
      <c r="A69" s="303" t="s">
        <v>208</v>
      </c>
      <c r="B69" s="304" t="s">
        <v>209</v>
      </c>
      <c r="C69" s="305" t="s">
        <v>16</v>
      </c>
      <c r="D69" s="364">
        <v>99</v>
      </c>
      <c r="E69" s="364">
        <v>100</v>
      </c>
      <c r="F69" s="322">
        <f>E69-D69</f>
        <v>1</v>
      </c>
      <c r="G69" s="314">
        <f>E69/D69</f>
        <v>1.0101010101010102</v>
      </c>
      <c r="H69" s="365"/>
      <c r="I69" s="349">
        <v>0.99</v>
      </c>
      <c r="J69" s="349"/>
      <c r="K69" s="349"/>
      <c r="L69" s="349"/>
      <c r="M69" s="349"/>
      <c r="N69" s="349">
        <v>0.99</v>
      </c>
      <c r="O69" s="349">
        <v>0.99</v>
      </c>
      <c r="P69" s="349">
        <v>0.99</v>
      </c>
      <c r="Q69" s="349">
        <v>0.99099999999999999</v>
      </c>
      <c r="R69" s="349">
        <v>0.99099999999999999</v>
      </c>
      <c r="S69" s="349">
        <v>0.99099999999999999</v>
      </c>
      <c r="T69" s="349">
        <v>0.99099999999999999</v>
      </c>
      <c r="U69" s="349">
        <v>0.99099999999999999</v>
      </c>
      <c r="V69" s="349">
        <v>0.99199999999999999</v>
      </c>
      <c r="W69" s="349">
        <v>0.99199999999999999</v>
      </c>
      <c r="X69" s="349">
        <v>0.99199999999999999</v>
      </c>
      <c r="Y69" s="349">
        <v>0.99199999999999999</v>
      </c>
      <c r="Z69" s="349">
        <v>0.99199999999999999</v>
      </c>
      <c r="AA69" s="349">
        <v>0.99299999999999999</v>
      </c>
      <c r="AB69" s="349">
        <v>0.99299999999999999</v>
      </c>
      <c r="AC69" s="349">
        <v>0.99299999999999999</v>
      </c>
      <c r="AD69" s="349">
        <v>0.99299999999999999</v>
      </c>
      <c r="AE69" s="349">
        <f>AD69</f>
        <v>0.99299999999999999</v>
      </c>
      <c r="AG69" s="295" t="s">
        <v>293</v>
      </c>
    </row>
    <row r="70" spans="1:33" s="295" customFormat="1" ht="14.25" customHeight="1">
      <c r="A70" s="586" t="s">
        <v>210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  <c r="Y70" s="586"/>
      <c r="Z70" s="586"/>
      <c r="AA70" s="586"/>
      <c r="AB70" s="586"/>
      <c r="AC70" s="586"/>
      <c r="AD70" s="586"/>
      <c r="AE70" s="586"/>
    </row>
    <row r="71" spans="1:33" s="295" customFormat="1" ht="28.5">
      <c r="A71" s="303" t="s">
        <v>211</v>
      </c>
      <c r="B71" s="304" t="s">
        <v>212</v>
      </c>
      <c r="C71" s="305" t="s">
        <v>213</v>
      </c>
      <c r="D71" s="366" t="e">
        <f t="shared" ref="D71:I71" si="56">D72+D73</f>
        <v>#REF!</v>
      </c>
      <c r="E71" s="366" t="e">
        <f t="shared" si="56"/>
        <v>#REF!</v>
      </c>
      <c r="F71" s="364" t="e">
        <f t="shared" ref="F71:F92" si="57">E71-D71</f>
        <v>#REF!</v>
      </c>
      <c r="G71" s="308" t="e">
        <f t="shared" ref="G71:G92" si="58">E71/D71</f>
        <v>#REF!</v>
      </c>
      <c r="H71" s="367"/>
      <c r="I71" s="396">
        <f t="shared" si="56"/>
        <v>1.1981653635008842</v>
      </c>
      <c r="J71" s="396"/>
      <c r="K71" s="396"/>
      <c r="L71" s="396"/>
      <c r="M71" s="396"/>
      <c r="N71" s="396">
        <f t="shared" ref="N71:AD71" si="59">N72+N73</f>
        <v>1.1981653635008842</v>
      </c>
      <c r="O71" s="396">
        <f t="shared" si="59"/>
        <v>1.1981653635008842</v>
      </c>
      <c r="P71" s="396">
        <f t="shared" si="59"/>
        <v>1.1981653635008842</v>
      </c>
      <c r="Q71" s="396">
        <f t="shared" si="59"/>
        <v>1.1697364487100952</v>
      </c>
      <c r="R71" s="396">
        <f t="shared" si="59"/>
        <v>1.1697364487100952</v>
      </c>
      <c r="S71" s="396">
        <f t="shared" si="59"/>
        <v>1.1697364487100952</v>
      </c>
      <c r="T71" s="396">
        <f t="shared" si="59"/>
        <v>1.1697364487100952</v>
      </c>
      <c r="U71" s="396">
        <f t="shared" si="59"/>
        <v>1.1697364487100952</v>
      </c>
      <c r="V71" s="396">
        <f t="shared" si="59"/>
        <v>1.1697364487100952</v>
      </c>
      <c r="W71" s="396">
        <f t="shared" si="59"/>
        <v>1.1697364487100952</v>
      </c>
      <c r="X71" s="396">
        <f t="shared" si="59"/>
        <v>1.1697364487100952</v>
      </c>
      <c r="Y71" s="396">
        <f t="shared" si="59"/>
        <v>1.1697364487100952</v>
      </c>
      <c r="Z71" s="396">
        <f t="shared" si="59"/>
        <v>1.1697364487100952</v>
      </c>
      <c r="AA71" s="396">
        <f t="shared" si="59"/>
        <v>1.1697364487100952</v>
      </c>
      <c r="AB71" s="396">
        <f t="shared" si="59"/>
        <v>1.1697364487100952</v>
      </c>
      <c r="AC71" s="396">
        <f t="shared" si="59"/>
        <v>1.1697364487100952</v>
      </c>
      <c r="AD71" s="396">
        <f t="shared" si="59"/>
        <v>1.1697364487100952</v>
      </c>
      <c r="AE71" s="396">
        <f t="shared" ref="AE71:AE77" si="60">AD71</f>
        <v>1.1697364487100952</v>
      </c>
    </row>
    <row r="72" spans="1:33" ht="75">
      <c r="A72" s="317" t="s">
        <v>214</v>
      </c>
      <c r="B72" s="310" t="s">
        <v>115</v>
      </c>
      <c r="C72" s="319" t="s">
        <v>213</v>
      </c>
      <c r="D72" s="368" t="e">
        <f t="shared" ref="D72:I72" si="61">D78/D75</f>
        <v>#REF!</v>
      </c>
      <c r="E72" s="368" t="e">
        <f t="shared" si="61"/>
        <v>#REF!</v>
      </c>
      <c r="F72" s="322" t="e">
        <f t="shared" si="57"/>
        <v>#REF!</v>
      </c>
      <c r="G72" s="314" t="e">
        <f t="shared" si="58"/>
        <v>#REF!</v>
      </c>
      <c r="H72" s="320"/>
      <c r="I72" s="357">
        <f t="shared" si="61"/>
        <v>0.20934019073217378</v>
      </c>
      <c r="J72" s="357"/>
      <c r="K72" s="357"/>
      <c r="L72" s="357"/>
      <c r="M72" s="320" t="s">
        <v>294</v>
      </c>
      <c r="N72" s="357">
        <f t="shared" ref="N72:AD72" si="62">N78/N75</f>
        <v>0.20934019073217378</v>
      </c>
      <c r="O72" s="357">
        <f t="shared" si="62"/>
        <v>0.20934019073217378</v>
      </c>
      <c r="P72" s="357">
        <f t="shared" si="62"/>
        <v>0.20934019073217378</v>
      </c>
      <c r="Q72" s="357">
        <f t="shared" si="62"/>
        <v>0.18091127594138473</v>
      </c>
      <c r="R72" s="357">
        <f t="shared" si="62"/>
        <v>0.18091127594138473</v>
      </c>
      <c r="S72" s="357">
        <f t="shared" si="62"/>
        <v>0.18091127594138473</v>
      </c>
      <c r="T72" s="357">
        <f t="shared" si="62"/>
        <v>0.18091127594138473</v>
      </c>
      <c r="U72" s="357">
        <f t="shared" si="62"/>
        <v>0.18091127594138473</v>
      </c>
      <c r="V72" s="357">
        <f t="shared" si="62"/>
        <v>0.18091127594138473</v>
      </c>
      <c r="W72" s="357">
        <f t="shared" si="62"/>
        <v>0.18091127594138473</v>
      </c>
      <c r="X72" s="357">
        <f t="shared" si="62"/>
        <v>0.18091127594138473</v>
      </c>
      <c r="Y72" s="357">
        <f t="shared" si="62"/>
        <v>0.18091127594138473</v>
      </c>
      <c r="Z72" s="357">
        <f t="shared" si="62"/>
        <v>0.18091127594138473</v>
      </c>
      <c r="AA72" s="357">
        <f t="shared" si="62"/>
        <v>0.18091127594138473</v>
      </c>
      <c r="AB72" s="357">
        <f t="shared" si="62"/>
        <v>0.18091127594138473</v>
      </c>
      <c r="AC72" s="357">
        <f t="shared" si="62"/>
        <v>0.18091127594138473</v>
      </c>
      <c r="AD72" s="357">
        <f t="shared" si="62"/>
        <v>0.18091127594138473</v>
      </c>
      <c r="AE72" s="357">
        <f t="shared" si="60"/>
        <v>0.18091127594138473</v>
      </c>
    </row>
    <row r="73" spans="1:33" ht="167.25" customHeight="1">
      <c r="A73" s="317" t="s">
        <v>215</v>
      </c>
      <c r="B73" s="310" t="s">
        <v>116</v>
      </c>
      <c r="C73" s="319" t="s">
        <v>213</v>
      </c>
      <c r="D73" s="368" t="e">
        <f t="shared" ref="D73:I73" si="63">D79/D76</f>
        <v>#REF!</v>
      </c>
      <c r="E73" s="368" t="e">
        <f t="shared" si="63"/>
        <v>#REF!</v>
      </c>
      <c r="F73" s="322" t="e">
        <f t="shared" si="57"/>
        <v>#REF!</v>
      </c>
      <c r="G73" s="314" t="e">
        <f t="shared" si="58"/>
        <v>#REF!</v>
      </c>
      <c r="H73" s="369"/>
      <c r="I73" s="357">
        <f t="shared" si="63"/>
        <v>0.9888251727687104</v>
      </c>
      <c r="J73" s="357"/>
      <c r="K73" s="357"/>
      <c r="L73" s="357"/>
      <c r="M73" s="397" t="s">
        <v>295</v>
      </c>
      <c r="N73" s="357">
        <f t="shared" ref="N73:AD73" si="64">N79/N76</f>
        <v>0.9888251727687104</v>
      </c>
      <c r="O73" s="357">
        <f t="shared" si="64"/>
        <v>0.9888251727687104</v>
      </c>
      <c r="P73" s="357">
        <f t="shared" si="64"/>
        <v>0.9888251727687104</v>
      </c>
      <c r="Q73" s="357">
        <f t="shared" si="64"/>
        <v>0.9888251727687104</v>
      </c>
      <c r="R73" s="357">
        <f t="shared" si="64"/>
        <v>0.9888251727687104</v>
      </c>
      <c r="S73" s="357">
        <f t="shared" si="64"/>
        <v>0.9888251727687104</v>
      </c>
      <c r="T73" s="357">
        <f t="shared" si="64"/>
        <v>0.9888251727687104</v>
      </c>
      <c r="U73" s="357">
        <f t="shared" si="64"/>
        <v>0.9888251727687104</v>
      </c>
      <c r="V73" s="357">
        <f t="shared" si="64"/>
        <v>0.9888251727687104</v>
      </c>
      <c r="W73" s="357">
        <f t="shared" si="64"/>
        <v>0.9888251727687104</v>
      </c>
      <c r="X73" s="357">
        <f t="shared" si="64"/>
        <v>0.9888251727687104</v>
      </c>
      <c r="Y73" s="357">
        <f t="shared" si="64"/>
        <v>0.9888251727687104</v>
      </c>
      <c r="Z73" s="357">
        <f t="shared" si="64"/>
        <v>0.9888251727687104</v>
      </c>
      <c r="AA73" s="357">
        <f t="shared" si="64"/>
        <v>0.9888251727687104</v>
      </c>
      <c r="AB73" s="357">
        <f t="shared" si="64"/>
        <v>0.9888251727687104</v>
      </c>
      <c r="AC73" s="357">
        <f t="shared" si="64"/>
        <v>0.9888251727687104</v>
      </c>
      <c r="AD73" s="357">
        <f t="shared" si="64"/>
        <v>0.9888251727687104</v>
      </c>
      <c r="AE73" s="357">
        <f t="shared" si="60"/>
        <v>0.9888251727687104</v>
      </c>
    </row>
    <row r="74" spans="1:33" s="296" customFormat="1" ht="30">
      <c r="A74" s="317" t="s">
        <v>216</v>
      </c>
      <c r="B74" s="318" t="s">
        <v>132</v>
      </c>
      <c r="C74" s="319" t="s">
        <v>133</v>
      </c>
      <c r="D74" s="368" t="e">
        <f t="shared" ref="D74:I74" si="65">D75+D76</f>
        <v>#REF!</v>
      </c>
      <c r="E74" s="368" t="e">
        <f t="shared" si="65"/>
        <v>#REF!</v>
      </c>
      <c r="F74" s="322" t="e">
        <f t="shared" si="57"/>
        <v>#REF!</v>
      </c>
      <c r="G74" s="314" t="e">
        <f t="shared" si="58"/>
        <v>#REF!</v>
      </c>
      <c r="H74" s="370"/>
      <c r="I74" s="357">
        <f t="shared" si="65"/>
        <v>658.97</v>
      </c>
      <c r="J74" s="357"/>
      <c r="K74" s="357"/>
      <c r="L74" s="357"/>
      <c r="M74" s="370"/>
      <c r="N74" s="357">
        <f t="shared" ref="N74:AD74" si="66">N75+N76</f>
        <v>658.97</v>
      </c>
      <c r="O74" s="357">
        <f t="shared" si="66"/>
        <v>658.97</v>
      </c>
      <c r="P74" s="357">
        <f t="shared" si="66"/>
        <v>658.97</v>
      </c>
      <c r="Q74" s="357">
        <f t="shared" si="66"/>
        <v>658.97</v>
      </c>
      <c r="R74" s="357">
        <f t="shared" si="66"/>
        <v>658.97</v>
      </c>
      <c r="S74" s="357">
        <f t="shared" si="66"/>
        <v>658.97</v>
      </c>
      <c r="T74" s="357">
        <f t="shared" si="66"/>
        <v>658.97</v>
      </c>
      <c r="U74" s="357">
        <f t="shared" si="66"/>
        <v>658.97</v>
      </c>
      <c r="V74" s="357">
        <f t="shared" si="66"/>
        <v>658.97</v>
      </c>
      <c r="W74" s="357">
        <f t="shared" si="66"/>
        <v>658.97</v>
      </c>
      <c r="X74" s="357">
        <f t="shared" si="66"/>
        <v>658.97</v>
      </c>
      <c r="Y74" s="357">
        <f t="shared" si="66"/>
        <v>658.97</v>
      </c>
      <c r="Z74" s="357">
        <f t="shared" si="66"/>
        <v>658.97</v>
      </c>
      <c r="AA74" s="357">
        <f t="shared" si="66"/>
        <v>658.97</v>
      </c>
      <c r="AB74" s="357">
        <f t="shared" si="66"/>
        <v>658.97</v>
      </c>
      <c r="AC74" s="357">
        <f t="shared" si="66"/>
        <v>658.97</v>
      </c>
      <c r="AD74" s="357">
        <f t="shared" si="66"/>
        <v>658.97</v>
      </c>
      <c r="AE74" s="357">
        <f t="shared" si="60"/>
        <v>658.97</v>
      </c>
    </row>
    <row r="75" spans="1:33" ht="45">
      <c r="A75" s="317" t="s">
        <v>217</v>
      </c>
      <c r="B75" s="310" t="s">
        <v>115</v>
      </c>
      <c r="C75" s="319" t="s">
        <v>133</v>
      </c>
      <c r="D75" s="14" t="e">
        <f t="shared" ref="D75:I75" si="67">D24</f>
        <v>#REF!</v>
      </c>
      <c r="E75" s="14" t="e">
        <f t="shared" si="67"/>
        <v>#REF!</v>
      </c>
      <c r="F75" s="322" t="e">
        <f t="shared" si="57"/>
        <v>#REF!</v>
      </c>
      <c r="G75" s="314" t="e">
        <f t="shared" si="58"/>
        <v>#REF!</v>
      </c>
      <c r="H75" s="371"/>
      <c r="I75" s="359">
        <f t="shared" si="67"/>
        <v>386.93</v>
      </c>
      <c r="J75" s="359"/>
      <c r="K75" s="359"/>
      <c r="L75" s="359"/>
      <c r="M75" s="371" t="s">
        <v>296</v>
      </c>
      <c r="N75" s="359">
        <f t="shared" ref="N75:AD75" si="68">N24</f>
        <v>386.93</v>
      </c>
      <c r="O75" s="359">
        <f t="shared" si="68"/>
        <v>386.93</v>
      </c>
      <c r="P75" s="359">
        <f t="shared" si="68"/>
        <v>386.93</v>
      </c>
      <c r="Q75" s="359">
        <f t="shared" si="68"/>
        <v>386.93</v>
      </c>
      <c r="R75" s="359">
        <f t="shared" si="68"/>
        <v>386.93</v>
      </c>
      <c r="S75" s="359">
        <f t="shared" si="68"/>
        <v>386.93</v>
      </c>
      <c r="T75" s="359">
        <f t="shared" si="68"/>
        <v>386.93</v>
      </c>
      <c r="U75" s="359">
        <f t="shared" si="68"/>
        <v>386.93</v>
      </c>
      <c r="V75" s="359">
        <f t="shared" si="68"/>
        <v>386.93</v>
      </c>
      <c r="W75" s="359">
        <f t="shared" si="68"/>
        <v>386.93</v>
      </c>
      <c r="X75" s="359">
        <f t="shared" si="68"/>
        <v>386.93</v>
      </c>
      <c r="Y75" s="359">
        <f t="shared" si="68"/>
        <v>386.93</v>
      </c>
      <c r="Z75" s="359">
        <f t="shared" si="68"/>
        <v>386.93</v>
      </c>
      <c r="AA75" s="359">
        <f t="shared" si="68"/>
        <v>386.93</v>
      </c>
      <c r="AB75" s="359">
        <f t="shared" si="68"/>
        <v>386.93</v>
      </c>
      <c r="AC75" s="359">
        <f t="shared" si="68"/>
        <v>386.93</v>
      </c>
      <c r="AD75" s="359">
        <f t="shared" si="68"/>
        <v>386.93</v>
      </c>
      <c r="AE75" s="359">
        <f t="shared" si="60"/>
        <v>386.93</v>
      </c>
      <c r="AG75" s="2" t="s">
        <v>289</v>
      </c>
    </row>
    <row r="76" spans="1:33" ht="45">
      <c r="A76" s="317" t="s">
        <v>218</v>
      </c>
      <c r="B76" s="310" t="s">
        <v>116</v>
      </c>
      <c r="C76" s="319" t="s">
        <v>133</v>
      </c>
      <c r="D76" s="14" t="e">
        <f t="shared" ref="D76:I76" si="69">D25</f>
        <v>#REF!</v>
      </c>
      <c r="E76" s="14" t="e">
        <f t="shared" si="69"/>
        <v>#REF!</v>
      </c>
      <c r="F76" s="322" t="e">
        <f t="shared" si="57"/>
        <v>#REF!</v>
      </c>
      <c r="G76" s="314" t="e">
        <f t="shared" si="58"/>
        <v>#REF!</v>
      </c>
      <c r="H76" s="371"/>
      <c r="I76" s="359">
        <f t="shared" si="69"/>
        <v>272.04000000000002</v>
      </c>
      <c r="J76" s="359"/>
      <c r="K76" s="359"/>
      <c r="L76" s="359"/>
      <c r="M76" s="371" t="s">
        <v>296</v>
      </c>
      <c r="N76" s="359">
        <f t="shared" ref="N76:AD76" si="70">N25</f>
        <v>272.04000000000002</v>
      </c>
      <c r="O76" s="359">
        <f t="shared" si="70"/>
        <v>272.04000000000002</v>
      </c>
      <c r="P76" s="359">
        <f t="shared" si="70"/>
        <v>272.04000000000002</v>
      </c>
      <c r="Q76" s="359">
        <f t="shared" si="70"/>
        <v>272.04000000000002</v>
      </c>
      <c r="R76" s="359">
        <f t="shared" si="70"/>
        <v>272.04000000000002</v>
      </c>
      <c r="S76" s="359">
        <f t="shared" si="70"/>
        <v>272.04000000000002</v>
      </c>
      <c r="T76" s="359">
        <f t="shared" si="70"/>
        <v>272.04000000000002</v>
      </c>
      <c r="U76" s="359">
        <f t="shared" si="70"/>
        <v>272.04000000000002</v>
      </c>
      <c r="V76" s="359">
        <f t="shared" si="70"/>
        <v>272.04000000000002</v>
      </c>
      <c r="W76" s="359">
        <f t="shared" si="70"/>
        <v>272.04000000000002</v>
      </c>
      <c r="X76" s="359">
        <f t="shared" si="70"/>
        <v>272.04000000000002</v>
      </c>
      <c r="Y76" s="359">
        <f t="shared" si="70"/>
        <v>272.04000000000002</v>
      </c>
      <c r="Z76" s="359">
        <f t="shared" si="70"/>
        <v>272.04000000000002</v>
      </c>
      <c r="AA76" s="359">
        <f t="shared" si="70"/>
        <v>272.04000000000002</v>
      </c>
      <c r="AB76" s="359">
        <f t="shared" si="70"/>
        <v>272.04000000000002</v>
      </c>
      <c r="AC76" s="359">
        <f t="shared" si="70"/>
        <v>272.04000000000002</v>
      </c>
      <c r="AD76" s="359">
        <f t="shared" si="70"/>
        <v>272.04000000000002</v>
      </c>
      <c r="AE76" s="359">
        <f t="shared" si="60"/>
        <v>272.04000000000002</v>
      </c>
      <c r="AG76" s="2" t="s">
        <v>289</v>
      </c>
    </row>
    <row r="77" spans="1:33" ht="30">
      <c r="A77" s="317" t="s">
        <v>219</v>
      </c>
      <c r="B77" s="318" t="s">
        <v>220</v>
      </c>
      <c r="C77" s="319" t="s">
        <v>19</v>
      </c>
      <c r="D77" s="372">
        <f t="shared" ref="D77:I77" si="71">D78+D79</f>
        <v>350</v>
      </c>
      <c r="E77" s="372">
        <f t="shared" si="71"/>
        <v>1352</v>
      </c>
      <c r="F77" s="322">
        <f t="shared" si="57"/>
        <v>1002</v>
      </c>
      <c r="G77" s="314">
        <f t="shared" si="58"/>
        <v>3.862857142857143</v>
      </c>
      <c r="H77" s="370"/>
      <c r="I77" s="357">
        <f t="shared" si="71"/>
        <v>350</v>
      </c>
      <c r="J77" s="357"/>
      <c r="K77" s="357"/>
      <c r="L77" s="357"/>
      <c r="M77" s="370"/>
      <c r="N77" s="357">
        <f t="shared" ref="N77:AD77" si="72">N78+N79</f>
        <v>350</v>
      </c>
      <c r="O77" s="357">
        <f t="shared" si="72"/>
        <v>350</v>
      </c>
      <c r="P77" s="357">
        <f t="shared" si="72"/>
        <v>350</v>
      </c>
      <c r="Q77" s="357">
        <f t="shared" si="72"/>
        <v>339</v>
      </c>
      <c r="R77" s="357">
        <f t="shared" si="72"/>
        <v>339</v>
      </c>
      <c r="S77" s="357">
        <f t="shared" si="72"/>
        <v>339</v>
      </c>
      <c r="T77" s="357">
        <f t="shared" si="72"/>
        <v>339</v>
      </c>
      <c r="U77" s="357">
        <f t="shared" si="72"/>
        <v>339</v>
      </c>
      <c r="V77" s="357">
        <f t="shared" si="72"/>
        <v>339</v>
      </c>
      <c r="W77" s="357">
        <f t="shared" si="72"/>
        <v>339</v>
      </c>
      <c r="X77" s="357">
        <f t="shared" si="72"/>
        <v>339</v>
      </c>
      <c r="Y77" s="357">
        <f t="shared" si="72"/>
        <v>339</v>
      </c>
      <c r="Z77" s="357">
        <f t="shared" si="72"/>
        <v>339</v>
      </c>
      <c r="AA77" s="357">
        <f t="shared" si="72"/>
        <v>339</v>
      </c>
      <c r="AB77" s="357">
        <f t="shared" si="72"/>
        <v>339</v>
      </c>
      <c r="AC77" s="357">
        <f t="shared" si="72"/>
        <v>339</v>
      </c>
      <c r="AD77" s="357">
        <f t="shared" si="72"/>
        <v>339</v>
      </c>
      <c r="AE77" s="357">
        <f t="shared" si="60"/>
        <v>339</v>
      </c>
    </row>
    <row r="78" spans="1:33" ht="90">
      <c r="A78" s="317" t="s">
        <v>221</v>
      </c>
      <c r="B78" s="310" t="s">
        <v>115</v>
      </c>
      <c r="C78" s="319" t="s">
        <v>19</v>
      </c>
      <c r="D78" s="325">
        <v>81</v>
      </c>
      <c r="E78" s="325">
        <v>152</v>
      </c>
      <c r="F78" s="322">
        <f t="shared" si="57"/>
        <v>71</v>
      </c>
      <c r="G78" s="314">
        <f t="shared" si="58"/>
        <v>1.8765432098765431</v>
      </c>
      <c r="H78" s="320"/>
      <c r="I78" s="346">
        <v>81</v>
      </c>
      <c r="J78" s="346"/>
      <c r="K78" s="346"/>
      <c r="L78" s="346"/>
      <c r="M78" s="320" t="s">
        <v>297</v>
      </c>
      <c r="N78" s="346">
        <v>81</v>
      </c>
      <c r="O78" s="346">
        <v>81</v>
      </c>
      <c r="P78" s="346">
        <v>81</v>
      </c>
      <c r="Q78" s="346">
        <v>70</v>
      </c>
      <c r="R78" s="346">
        <v>70</v>
      </c>
      <c r="S78" s="346">
        <v>70</v>
      </c>
      <c r="T78" s="346">
        <v>70</v>
      </c>
      <c r="U78" s="346">
        <v>70</v>
      </c>
      <c r="V78" s="346">
        <v>70</v>
      </c>
      <c r="W78" s="346">
        <v>70</v>
      </c>
      <c r="X78" s="346">
        <v>70</v>
      </c>
      <c r="Y78" s="346">
        <v>70</v>
      </c>
      <c r="Z78" s="346">
        <v>70</v>
      </c>
      <c r="AA78" s="346">
        <v>70</v>
      </c>
      <c r="AB78" s="346">
        <v>70</v>
      </c>
      <c r="AC78" s="346">
        <v>70</v>
      </c>
      <c r="AD78" s="346">
        <v>70</v>
      </c>
      <c r="AE78" s="346">
        <v>70</v>
      </c>
      <c r="AG78" s="2" t="s">
        <v>298</v>
      </c>
    </row>
    <row r="79" spans="1:33" ht="135">
      <c r="A79" s="317" t="s">
        <v>222</v>
      </c>
      <c r="B79" s="310" t="s">
        <v>116</v>
      </c>
      <c r="C79" s="319" t="s">
        <v>19</v>
      </c>
      <c r="D79" s="325">
        <v>269</v>
      </c>
      <c r="E79" s="325">
        <v>1200</v>
      </c>
      <c r="F79" s="322">
        <f t="shared" si="57"/>
        <v>931</v>
      </c>
      <c r="G79" s="314">
        <f t="shared" si="58"/>
        <v>4.4609665427509295</v>
      </c>
      <c r="H79" s="320"/>
      <c r="I79" s="346">
        <v>269</v>
      </c>
      <c r="J79" s="346"/>
      <c r="K79" s="346"/>
      <c r="L79" s="346"/>
      <c r="M79" s="320" t="s">
        <v>299</v>
      </c>
      <c r="N79" s="346">
        <v>269</v>
      </c>
      <c r="O79" s="346">
        <v>269</v>
      </c>
      <c r="P79" s="346">
        <v>269</v>
      </c>
      <c r="Q79" s="346">
        <v>269</v>
      </c>
      <c r="R79" s="346">
        <v>269</v>
      </c>
      <c r="S79" s="346">
        <v>269</v>
      </c>
      <c r="T79" s="346">
        <v>269</v>
      </c>
      <c r="U79" s="346">
        <v>269</v>
      </c>
      <c r="V79" s="346">
        <v>269</v>
      </c>
      <c r="W79" s="346">
        <v>269</v>
      </c>
      <c r="X79" s="346">
        <v>269</v>
      </c>
      <c r="Y79" s="346">
        <v>269</v>
      </c>
      <c r="Z79" s="346">
        <v>269</v>
      </c>
      <c r="AA79" s="346">
        <v>269</v>
      </c>
      <c r="AB79" s="346">
        <v>269</v>
      </c>
      <c r="AC79" s="346">
        <v>269</v>
      </c>
      <c r="AD79" s="346">
        <v>269</v>
      </c>
      <c r="AE79" s="346">
        <v>269</v>
      </c>
      <c r="AG79" s="2" t="s">
        <v>298</v>
      </c>
    </row>
    <row r="80" spans="1:33" s="295" customFormat="1">
      <c r="A80" s="303" t="s">
        <v>223</v>
      </c>
      <c r="B80" s="304" t="s">
        <v>224</v>
      </c>
      <c r="C80" s="305" t="s">
        <v>16</v>
      </c>
      <c r="D80" s="373" t="e">
        <f t="shared" ref="D80:E82" si="73">D83/D86*100</f>
        <v>#REF!</v>
      </c>
      <c r="E80" s="373" t="e">
        <f t="shared" si="73"/>
        <v>#REF!</v>
      </c>
      <c r="F80" s="322" t="e">
        <f t="shared" si="57"/>
        <v>#REF!</v>
      </c>
      <c r="G80" s="314" t="e">
        <f t="shared" si="58"/>
        <v>#REF!</v>
      </c>
      <c r="H80" s="374"/>
      <c r="I80" s="398">
        <f t="shared" ref="I80:I82" si="74">I83/I86</f>
        <v>3.0957403220176942E-3</v>
      </c>
      <c r="J80" s="398"/>
      <c r="K80" s="398"/>
      <c r="L80" s="398"/>
      <c r="M80" s="374"/>
      <c r="N80" s="398">
        <f t="shared" ref="N80:AE80" si="75">N83/N86</f>
        <v>2.6556595899661591E-3</v>
      </c>
      <c r="O80" s="398">
        <f t="shared" si="75"/>
        <v>4.0517777744055114E-3</v>
      </c>
      <c r="P80" s="398">
        <f t="shared" si="75"/>
        <v>3.3992442751566839E-3</v>
      </c>
      <c r="Q80" s="398">
        <f t="shared" si="75"/>
        <v>5.3416695752462173E-3</v>
      </c>
      <c r="R80" s="398">
        <f t="shared" si="75"/>
        <v>6.2825318299770862E-3</v>
      </c>
      <c r="S80" s="398">
        <f t="shared" si="75"/>
        <v>3.839325007208219E-3</v>
      </c>
      <c r="T80" s="398">
        <f t="shared" si="75"/>
        <v>4.4918585064570461E-3</v>
      </c>
      <c r="U80" s="398">
        <f t="shared" si="75"/>
        <v>5.7969255049547018E-3</v>
      </c>
      <c r="V80" s="398">
        <f t="shared" si="75"/>
        <v>6.1307798534075905E-3</v>
      </c>
      <c r="W80" s="398">
        <f t="shared" si="75"/>
        <v>5.9790278768380957E-3</v>
      </c>
      <c r="X80" s="398">
        <f t="shared" si="75"/>
        <v>4.582909692398743E-3</v>
      </c>
      <c r="Y80" s="398">
        <f t="shared" si="75"/>
        <v>5.538947144786561E-3</v>
      </c>
      <c r="Z80" s="398">
        <f t="shared" si="75"/>
        <v>5.3871951682170653E-3</v>
      </c>
      <c r="AA80" s="398">
        <f t="shared" si="75"/>
        <v>5.7513999119838538E-3</v>
      </c>
      <c r="AB80" s="398">
        <f t="shared" si="75"/>
        <v>7.1019925034523567E-3</v>
      </c>
      <c r="AC80" s="398">
        <f t="shared" si="75"/>
        <v>5.614823133071308E-3</v>
      </c>
      <c r="AD80" s="398">
        <f t="shared" si="75"/>
        <v>4.4159825181722991E-3</v>
      </c>
      <c r="AE80" s="398">
        <f t="shared" si="75"/>
        <v>4.5373840994278949E-3</v>
      </c>
    </row>
    <row r="81" spans="1:33">
      <c r="A81" s="317" t="s">
        <v>225</v>
      </c>
      <c r="B81" s="310" t="s">
        <v>115</v>
      </c>
      <c r="C81" s="319" t="s">
        <v>16</v>
      </c>
      <c r="D81" s="375" t="e">
        <f t="shared" si="73"/>
        <v>#REF!</v>
      </c>
      <c r="E81" s="375" t="e">
        <f t="shared" si="73"/>
        <v>#REF!</v>
      </c>
      <c r="F81" s="322" t="e">
        <f t="shared" si="57"/>
        <v>#REF!</v>
      </c>
      <c r="G81" s="314" t="e">
        <f t="shared" si="58"/>
        <v>#REF!</v>
      </c>
      <c r="H81" s="376"/>
      <c r="I81" s="172">
        <f t="shared" si="74"/>
        <v>4.6520042384927502E-3</v>
      </c>
      <c r="J81" s="172"/>
      <c r="K81" s="172"/>
      <c r="L81" s="172"/>
      <c r="M81" s="376"/>
      <c r="N81" s="172">
        <f t="shared" ref="N81:AE81" si="76">N84/N87</f>
        <v>3.9025146667355853E-3</v>
      </c>
      <c r="O81" s="172">
        <f t="shared" si="76"/>
        <v>4.4710929625513662E-3</v>
      </c>
      <c r="P81" s="172">
        <f t="shared" si="76"/>
        <v>3.4114697748946839E-3</v>
      </c>
      <c r="Q81" s="172">
        <f t="shared" si="76"/>
        <v>7.3656733776135217E-3</v>
      </c>
      <c r="R81" s="172">
        <f t="shared" si="76"/>
        <v>8.9680303930943592E-3</v>
      </c>
      <c r="S81" s="172">
        <f t="shared" si="76"/>
        <v>4.8070710464425091E-3</v>
      </c>
      <c r="T81" s="172">
        <f t="shared" si="76"/>
        <v>5.4790272142247951E-3</v>
      </c>
      <c r="U81" s="172">
        <f t="shared" si="76"/>
        <v>5.789160830124312E-3</v>
      </c>
      <c r="V81" s="172">
        <f t="shared" si="76"/>
        <v>5.582405086191301E-3</v>
      </c>
      <c r="W81" s="172">
        <f t="shared" si="76"/>
        <v>7.0555397617140048E-3</v>
      </c>
      <c r="X81" s="172">
        <f t="shared" si="76"/>
        <v>6.073449978032202E-3</v>
      </c>
      <c r="Y81" s="172">
        <f t="shared" si="76"/>
        <v>6.8746284857726207E-3</v>
      </c>
      <c r="Z81" s="172">
        <f t="shared" si="76"/>
        <v>6.047605510040575E-3</v>
      </c>
      <c r="AA81" s="172">
        <f t="shared" si="76"/>
        <v>7.5207401855632806E-3</v>
      </c>
      <c r="AB81" s="172">
        <f t="shared" si="76"/>
        <v>8.3477631612953237E-3</v>
      </c>
      <c r="AC81" s="172">
        <f t="shared" si="76"/>
        <v>4.7036931744760032E-3</v>
      </c>
      <c r="AD81" s="172">
        <f t="shared" si="76"/>
        <v>4.0575814746853433E-3</v>
      </c>
      <c r="AE81" s="172">
        <f t="shared" si="76"/>
        <v>4.0575814746853433E-3</v>
      </c>
    </row>
    <row r="82" spans="1:33">
      <c r="A82" s="317" t="s">
        <v>226</v>
      </c>
      <c r="B82" s="310" t="s">
        <v>116</v>
      </c>
      <c r="C82" s="319" t="s">
        <v>16</v>
      </c>
      <c r="D82" s="375" t="e">
        <f t="shared" si="73"/>
        <v>#REF!</v>
      </c>
      <c r="E82" s="375" t="e">
        <f t="shared" si="73"/>
        <v>#REF!</v>
      </c>
      <c r="F82" s="322" t="e">
        <f t="shared" si="57"/>
        <v>#REF!</v>
      </c>
      <c r="G82" s="314" t="e">
        <f t="shared" si="58"/>
        <v>#REF!</v>
      </c>
      <c r="H82" s="376"/>
      <c r="I82" s="172">
        <f t="shared" si="74"/>
        <v>8.8222320247022484E-4</v>
      </c>
      <c r="J82" s="172"/>
      <c r="K82" s="172"/>
      <c r="L82" s="172"/>
      <c r="M82" s="376"/>
      <c r="N82" s="172">
        <f t="shared" ref="N82:AE82" si="77">N85/N88</f>
        <v>8.8222320247022484E-4</v>
      </c>
      <c r="O82" s="172">
        <f t="shared" si="77"/>
        <v>3.4553742096750475E-3</v>
      </c>
      <c r="P82" s="172">
        <f t="shared" si="77"/>
        <v>3.3818556094691956E-3</v>
      </c>
      <c r="Q82" s="172">
        <f t="shared" si="77"/>
        <v>2.4628731068960445E-3</v>
      </c>
      <c r="R82" s="172">
        <f t="shared" si="77"/>
        <v>2.4628731068960445E-3</v>
      </c>
      <c r="S82" s="172">
        <f t="shared" si="77"/>
        <v>2.4628731068960445E-3</v>
      </c>
      <c r="T82" s="172">
        <f t="shared" si="77"/>
        <v>3.0877812086457872E-3</v>
      </c>
      <c r="U82" s="172">
        <f t="shared" si="77"/>
        <v>5.8079694162623142E-3</v>
      </c>
      <c r="V82" s="172">
        <f t="shared" si="77"/>
        <v>6.910748419350095E-3</v>
      </c>
      <c r="W82" s="172">
        <f t="shared" si="77"/>
        <v>4.4478753124540501E-3</v>
      </c>
      <c r="X82" s="172">
        <f t="shared" si="77"/>
        <v>2.4628731068960445E-3</v>
      </c>
      <c r="Y82" s="172">
        <f t="shared" si="77"/>
        <v>3.6391707101896776E-3</v>
      </c>
      <c r="Z82" s="172">
        <f t="shared" si="77"/>
        <v>4.4478753124540501E-3</v>
      </c>
      <c r="AA82" s="172">
        <f t="shared" si="77"/>
        <v>3.2348184090574914E-3</v>
      </c>
      <c r="AB82" s="172">
        <f t="shared" si="77"/>
        <v>5.3300985149242752E-3</v>
      </c>
      <c r="AC82" s="172">
        <f t="shared" si="77"/>
        <v>6.910748419350095E-3</v>
      </c>
      <c r="AD82" s="172">
        <f t="shared" si="77"/>
        <v>4.925746213792089E-3</v>
      </c>
      <c r="AE82" s="172">
        <f t="shared" si="77"/>
        <v>5.2198206146154974E-3</v>
      </c>
    </row>
    <row r="83" spans="1:33" s="297" customFormat="1">
      <c r="A83" s="317" t="s">
        <v>227</v>
      </c>
      <c r="B83" s="318" t="s">
        <v>228</v>
      </c>
      <c r="C83" s="377" t="s">
        <v>133</v>
      </c>
      <c r="D83" s="378">
        <f t="shared" ref="D83:I83" si="78">D84+D85</f>
        <v>10</v>
      </c>
      <c r="E83" s="378">
        <f t="shared" si="78"/>
        <v>11.287939999999999</v>
      </c>
      <c r="F83" s="322">
        <f t="shared" si="57"/>
        <v>1.287939999999999</v>
      </c>
      <c r="G83" s="314">
        <f t="shared" si="58"/>
        <v>1.1287939999999999</v>
      </c>
      <c r="H83" s="315"/>
      <c r="I83" s="124">
        <f t="shared" si="78"/>
        <v>2.04</v>
      </c>
      <c r="J83" s="124"/>
      <c r="K83" s="124"/>
      <c r="L83" s="124"/>
      <c r="M83" s="315"/>
      <c r="N83" s="124">
        <f t="shared" ref="N83:AE83" si="79">N84+N85</f>
        <v>1.75</v>
      </c>
      <c r="O83" s="124">
        <f t="shared" si="79"/>
        <v>2.67</v>
      </c>
      <c r="P83" s="124">
        <f t="shared" si="79"/>
        <v>2.2400000000000002</v>
      </c>
      <c r="Q83" s="124">
        <f t="shared" si="79"/>
        <v>3.52</v>
      </c>
      <c r="R83" s="124">
        <f t="shared" si="79"/>
        <v>4.1400000000000006</v>
      </c>
      <c r="S83" s="124">
        <f t="shared" si="79"/>
        <v>2.5300000000000002</v>
      </c>
      <c r="T83" s="124">
        <f t="shared" si="79"/>
        <v>2.96</v>
      </c>
      <c r="U83" s="124">
        <f t="shared" si="79"/>
        <v>3.8200000000000003</v>
      </c>
      <c r="V83" s="124">
        <f t="shared" si="79"/>
        <v>4.04</v>
      </c>
      <c r="W83" s="124">
        <f t="shared" si="79"/>
        <v>3.94</v>
      </c>
      <c r="X83" s="124">
        <f t="shared" si="79"/>
        <v>3.02</v>
      </c>
      <c r="Y83" s="124">
        <f t="shared" si="79"/>
        <v>3.6500000000000004</v>
      </c>
      <c r="Z83" s="124">
        <f t="shared" si="79"/>
        <v>3.55</v>
      </c>
      <c r="AA83" s="124">
        <f t="shared" si="79"/>
        <v>3.79</v>
      </c>
      <c r="AB83" s="124">
        <f t="shared" si="79"/>
        <v>4.68</v>
      </c>
      <c r="AC83" s="124">
        <f t="shared" si="79"/>
        <v>3.7</v>
      </c>
      <c r="AD83" s="124">
        <f t="shared" si="79"/>
        <v>2.91</v>
      </c>
      <c r="AE83" s="124">
        <f t="shared" si="79"/>
        <v>2.99</v>
      </c>
    </row>
    <row r="84" spans="1:33">
      <c r="A84" s="317" t="s">
        <v>229</v>
      </c>
      <c r="B84" s="310" t="s">
        <v>115</v>
      </c>
      <c r="C84" s="319" t="s">
        <v>133</v>
      </c>
      <c r="D84" s="379">
        <v>8.8000000000000007</v>
      </c>
      <c r="E84" s="379">
        <f>2.082+0.89094+6.4</f>
        <v>9.3729399999999998</v>
      </c>
      <c r="F84" s="322">
        <f t="shared" si="57"/>
        <v>0.57293999999999912</v>
      </c>
      <c r="G84" s="314">
        <f t="shared" si="58"/>
        <v>1.0651068181818182</v>
      </c>
      <c r="H84" s="329"/>
      <c r="I84" s="350">
        <v>1.8</v>
      </c>
      <c r="J84" s="350"/>
      <c r="K84" s="350"/>
      <c r="L84" s="350"/>
      <c r="M84" s="329"/>
      <c r="N84" s="350">
        <v>1.51</v>
      </c>
      <c r="O84" s="350">
        <v>1.73</v>
      </c>
      <c r="P84" s="350">
        <v>1.32</v>
      </c>
      <c r="Q84" s="350">
        <v>2.85</v>
      </c>
      <c r="R84" s="350">
        <v>3.47</v>
      </c>
      <c r="S84" s="350">
        <v>1.86</v>
      </c>
      <c r="T84" s="350">
        <v>2.12</v>
      </c>
      <c r="U84" s="350">
        <v>2.2400000000000002</v>
      </c>
      <c r="V84" s="350">
        <v>2.16</v>
      </c>
      <c r="W84" s="350">
        <v>2.73</v>
      </c>
      <c r="X84" s="350">
        <v>2.35</v>
      </c>
      <c r="Y84" s="350">
        <v>2.66</v>
      </c>
      <c r="Z84" s="350">
        <v>2.34</v>
      </c>
      <c r="AA84" s="350">
        <v>2.91</v>
      </c>
      <c r="AB84" s="350">
        <v>3.23</v>
      </c>
      <c r="AC84" s="350">
        <v>1.82</v>
      </c>
      <c r="AD84" s="350">
        <v>1.57</v>
      </c>
      <c r="AE84" s="350">
        <f>AD84</f>
        <v>1.57</v>
      </c>
      <c r="AG84" s="2" t="s">
        <v>300</v>
      </c>
    </row>
    <row r="85" spans="1:33">
      <c r="A85" s="317" t="s">
        <v>230</v>
      </c>
      <c r="B85" s="310" t="s">
        <v>116</v>
      </c>
      <c r="C85" s="319" t="s">
        <v>133</v>
      </c>
      <c r="D85" s="379">
        <v>1.2</v>
      </c>
      <c r="E85" s="380">
        <f>0.015+1.9</f>
        <v>1.9149999999999998</v>
      </c>
      <c r="F85" s="322">
        <f t="shared" si="57"/>
        <v>0.71499999999999986</v>
      </c>
      <c r="G85" s="314">
        <f t="shared" si="58"/>
        <v>1.5958333333333332</v>
      </c>
      <c r="H85" s="329"/>
      <c r="I85" s="350">
        <v>0.24</v>
      </c>
      <c r="J85" s="350"/>
      <c r="K85" s="350"/>
      <c r="L85" s="350"/>
      <c r="M85" s="329"/>
      <c r="N85" s="350">
        <v>0.24</v>
      </c>
      <c r="O85" s="350">
        <v>0.94</v>
      </c>
      <c r="P85" s="350">
        <v>0.92</v>
      </c>
      <c r="Q85" s="350">
        <v>0.67</v>
      </c>
      <c r="R85" s="350">
        <v>0.67</v>
      </c>
      <c r="S85" s="350">
        <v>0.67</v>
      </c>
      <c r="T85" s="350">
        <v>0.84</v>
      </c>
      <c r="U85" s="350">
        <v>1.58</v>
      </c>
      <c r="V85" s="350">
        <v>1.88</v>
      </c>
      <c r="W85" s="350">
        <v>1.21</v>
      </c>
      <c r="X85" s="350">
        <v>0.67</v>
      </c>
      <c r="Y85" s="350">
        <v>0.99</v>
      </c>
      <c r="Z85" s="350">
        <v>1.21</v>
      </c>
      <c r="AA85" s="350">
        <v>0.88</v>
      </c>
      <c r="AB85" s="350">
        <v>1.45</v>
      </c>
      <c r="AC85" s="350">
        <v>1.88</v>
      </c>
      <c r="AD85" s="350">
        <v>1.34</v>
      </c>
      <c r="AE85" s="350">
        <v>1.42</v>
      </c>
      <c r="AG85" s="2" t="s">
        <v>300</v>
      </c>
    </row>
    <row r="86" spans="1:33" ht="45">
      <c r="A86" s="317" t="s">
        <v>231</v>
      </c>
      <c r="B86" s="318" t="s">
        <v>132</v>
      </c>
      <c r="C86" s="319" t="s">
        <v>133</v>
      </c>
      <c r="D86" s="368" t="e">
        <f t="shared" ref="D86:I86" si="80">D87+D88</f>
        <v>#REF!</v>
      </c>
      <c r="E86" s="368" t="e">
        <f t="shared" si="80"/>
        <v>#REF!</v>
      </c>
      <c r="F86" s="322" t="e">
        <f t="shared" si="57"/>
        <v>#REF!</v>
      </c>
      <c r="G86" s="314" t="e">
        <f t="shared" si="58"/>
        <v>#REF!</v>
      </c>
      <c r="H86" s="369"/>
      <c r="I86" s="357">
        <f t="shared" si="80"/>
        <v>658.97</v>
      </c>
      <c r="J86" s="357"/>
      <c r="K86" s="357"/>
      <c r="L86" s="357"/>
      <c r="M86" s="369" t="s">
        <v>296</v>
      </c>
      <c r="N86" s="357">
        <f t="shared" ref="N86:AD86" si="81">N87+N88</f>
        <v>658.97</v>
      </c>
      <c r="O86" s="357">
        <f t="shared" si="81"/>
        <v>658.97</v>
      </c>
      <c r="P86" s="357">
        <f t="shared" si="81"/>
        <v>658.97</v>
      </c>
      <c r="Q86" s="357">
        <f t="shared" si="81"/>
        <v>658.97</v>
      </c>
      <c r="R86" s="357">
        <f t="shared" si="81"/>
        <v>658.97</v>
      </c>
      <c r="S86" s="357">
        <f t="shared" si="81"/>
        <v>658.97</v>
      </c>
      <c r="T86" s="357">
        <f t="shared" si="81"/>
        <v>658.97</v>
      </c>
      <c r="U86" s="357">
        <f t="shared" si="81"/>
        <v>658.97</v>
      </c>
      <c r="V86" s="357">
        <f t="shared" si="81"/>
        <v>658.97</v>
      </c>
      <c r="W86" s="357">
        <f t="shared" si="81"/>
        <v>658.97</v>
      </c>
      <c r="X86" s="357">
        <f t="shared" si="81"/>
        <v>658.97</v>
      </c>
      <c r="Y86" s="357">
        <f t="shared" si="81"/>
        <v>658.97</v>
      </c>
      <c r="Z86" s="357">
        <f t="shared" si="81"/>
        <v>658.97</v>
      </c>
      <c r="AA86" s="357">
        <f t="shared" si="81"/>
        <v>658.97</v>
      </c>
      <c r="AB86" s="357">
        <f t="shared" si="81"/>
        <v>658.97</v>
      </c>
      <c r="AC86" s="357">
        <f t="shared" si="81"/>
        <v>658.97</v>
      </c>
      <c r="AD86" s="357">
        <f t="shared" si="81"/>
        <v>658.97</v>
      </c>
      <c r="AE86" s="357">
        <f t="shared" ref="AE86:AE92" si="82">AD86</f>
        <v>658.97</v>
      </c>
    </row>
    <row r="87" spans="1:33" ht="45">
      <c r="A87" s="317" t="s">
        <v>232</v>
      </c>
      <c r="B87" s="310" t="s">
        <v>115</v>
      </c>
      <c r="C87" s="319" t="s">
        <v>133</v>
      </c>
      <c r="D87" s="14" t="e">
        <f t="shared" ref="D87:I87" si="83">D24</f>
        <v>#REF!</v>
      </c>
      <c r="E87" s="14" t="e">
        <f t="shared" si="83"/>
        <v>#REF!</v>
      </c>
      <c r="F87" s="322" t="e">
        <f t="shared" si="57"/>
        <v>#REF!</v>
      </c>
      <c r="G87" s="314" t="e">
        <f t="shared" si="58"/>
        <v>#REF!</v>
      </c>
      <c r="H87" s="381"/>
      <c r="I87" s="359">
        <f t="shared" si="83"/>
        <v>386.93</v>
      </c>
      <c r="J87" s="359"/>
      <c r="K87" s="359"/>
      <c r="L87" s="359"/>
      <c r="M87" s="381" t="s">
        <v>296</v>
      </c>
      <c r="N87" s="359">
        <f t="shared" ref="N87:AD87" si="84">N24</f>
        <v>386.93</v>
      </c>
      <c r="O87" s="359">
        <f t="shared" si="84"/>
        <v>386.93</v>
      </c>
      <c r="P87" s="359">
        <f t="shared" si="84"/>
        <v>386.93</v>
      </c>
      <c r="Q87" s="359">
        <f t="shared" si="84"/>
        <v>386.93</v>
      </c>
      <c r="R87" s="359">
        <f t="shared" si="84"/>
        <v>386.93</v>
      </c>
      <c r="S87" s="359">
        <f t="shared" si="84"/>
        <v>386.93</v>
      </c>
      <c r="T87" s="359">
        <f t="shared" si="84"/>
        <v>386.93</v>
      </c>
      <c r="U87" s="359">
        <f t="shared" si="84"/>
        <v>386.93</v>
      </c>
      <c r="V87" s="359">
        <f t="shared" si="84"/>
        <v>386.93</v>
      </c>
      <c r="W87" s="359">
        <f t="shared" si="84"/>
        <v>386.93</v>
      </c>
      <c r="X87" s="359">
        <f t="shared" si="84"/>
        <v>386.93</v>
      </c>
      <c r="Y87" s="359">
        <f t="shared" si="84"/>
        <v>386.93</v>
      </c>
      <c r="Z87" s="359">
        <f t="shared" si="84"/>
        <v>386.93</v>
      </c>
      <c r="AA87" s="359">
        <f t="shared" si="84"/>
        <v>386.93</v>
      </c>
      <c r="AB87" s="359">
        <f t="shared" si="84"/>
        <v>386.93</v>
      </c>
      <c r="AC87" s="359">
        <f t="shared" si="84"/>
        <v>386.93</v>
      </c>
      <c r="AD87" s="359">
        <f t="shared" si="84"/>
        <v>386.93</v>
      </c>
      <c r="AE87" s="359">
        <f t="shared" si="82"/>
        <v>386.93</v>
      </c>
      <c r="AG87" s="2" t="s">
        <v>289</v>
      </c>
    </row>
    <row r="88" spans="1:33" ht="45">
      <c r="A88" s="317" t="s">
        <v>233</v>
      </c>
      <c r="B88" s="310" t="s">
        <v>116</v>
      </c>
      <c r="C88" s="319" t="s">
        <v>133</v>
      </c>
      <c r="D88" s="14" t="e">
        <f t="shared" ref="D88:I88" si="85">D25</f>
        <v>#REF!</v>
      </c>
      <c r="E88" s="14" t="e">
        <f t="shared" si="85"/>
        <v>#REF!</v>
      </c>
      <c r="F88" s="322" t="e">
        <f t="shared" si="57"/>
        <v>#REF!</v>
      </c>
      <c r="G88" s="314" t="e">
        <f t="shared" si="58"/>
        <v>#REF!</v>
      </c>
      <c r="H88" s="381"/>
      <c r="I88" s="359">
        <f t="shared" si="85"/>
        <v>272.04000000000002</v>
      </c>
      <c r="J88" s="359"/>
      <c r="K88" s="359"/>
      <c r="L88" s="359"/>
      <c r="M88" s="381" t="s">
        <v>296</v>
      </c>
      <c r="N88" s="359">
        <f t="shared" ref="N88:AD88" si="86">N25</f>
        <v>272.04000000000002</v>
      </c>
      <c r="O88" s="359">
        <f t="shared" si="86"/>
        <v>272.04000000000002</v>
      </c>
      <c r="P88" s="359">
        <f t="shared" si="86"/>
        <v>272.04000000000002</v>
      </c>
      <c r="Q88" s="359">
        <f t="shared" si="86"/>
        <v>272.04000000000002</v>
      </c>
      <c r="R88" s="359">
        <f t="shared" si="86"/>
        <v>272.04000000000002</v>
      </c>
      <c r="S88" s="359">
        <f t="shared" si="86"/>
        <v>272.04000000000002</v>
      </c>
      <c r="T88" s="359">
        <f t="shared" si="86"/>
        <v>272.04000000000002</v>
      </c>
      <c r="U88" s="359">
        <f t="shared" si="86"/>
        <v>272.04000000000002</v>
      </c>
      <c r="V88" s="359">
        <f t="shared" si="86"/>
        <v>272.04000000000002</v>
      </c>
      <c r="W88" s="359">
        <f t="shared" si="86"/>
        <v>272.04000000000002</v>
      </c>
      <c r="X88" s="359">
        <f t="shared" si="86"/>
        <v>272.04000000000002</v>
      </c>
      <c r="Y88" s="359">
        <f t="shared" si="86"/>
        <v>272.04000000000002</v>
      </c>
      <c r="Z88" s="359">
        <f t="shared" si="86"/>
        <v>272.04000000000002</v>
      </c>
      <c r="AA88" s="359">
        <f t="shared" si="86"/>
        <v>272.04000000000002</v>
      </c>
      <c r="AB88" s="359">
        <f t="shared" si="86"/>
        <v>272.04000000000002</v>
      </c>
      <c r="AC88" s="359">
        <f t="shared" si="86"/>
        <v>272.04000000000002</v>
      </c>
      <c r="AD88" s="359">
        <f t="shared" si="86"/>
        <v>272.04000000000002</v>
      </c>
      <c r="AE88" s="359">
        <f t="shared" si="82"/>
        <v>272.04000000000002</v>
      </c>
      <c r="AG88" s="2" t="s">
        <v>289</v>
      </c>
    </row>
    <row r="89" spans="1:33" s="295" customFormat="1" ht="28.5">
      <c r="A89" s="303" t="s">
        <v>234</v>
      </c>
      <c r="B89" s="304" t="s">
        <v>235</v>
      </c>
      <c r="C89" s="305" t="s">
        <v>236</v>
      </c>
      <c r="D89" s="366">
        <f>D92/D90</f>
        <v>6.1421670117322288E-2</v>
      </c>
      <c r="E89" s="366">
        <f>E92/E90</f>
        <v>1.5485001947798987E-2</v>
      </c>
      <c r="F89" s="322">
        <f t="shared" si="57"/>
        <v>-4.5936668169523298E-2</v>
      </c>
      <c r="G89" s="314">
        <f t="shared" si="58"/>
        <v>0.25210975081304193</v>
      </c>
      <c r="H89" s="367"/>
      <c r="I89" s="396">
        <v>9.1</v>
      </c>
      <c r="J89" s="396"/>
      <c r="K89" s="396"/>
      <c r="L89" s="396"/>
      <c r="M89" s="367"/>
      <c r="N89" s="396">
        <v>9.1</v>
      </c>
      <c r="O89" s="396">
        <v>9.1</v>
      </c>
      <c r="P89" s="396">
        <v>9.1</v>
      </c>
      <c r="Q89" s="396">
        <v>8</v>
      </c>
      <c r="R89" s="396">
        <v>8</v>
      </c>
      <c r="S89" s="396">
        <v>8</v>
      </c>
      <c r="T89" s="396">
        <v>8</v>
      </c>
      <c r="U89" s="396">
        <v>8</v>
      </c>
      <c r="V89" s="396">
        <v>7.5</v>
      </c>
      <c r="W89" s="396">
        <v>7.5</v>
      </c>
      <c r="X89" s="396">
        <v>7.5</v>
      </c>
      <c r="Y89" s="396">
        <v>7.5</v>
      </c>
      <c r="Z89" s="396">
        <v>7.5</v>
      </c>
      <c r="AA89" s="396">
        <v>7</v>
      </c>
      <c r="AB89" s="396">
        <v>7</v>
      </c>
      <c r="AC89" s="396">
        <v>7</v>
      </c>
      <c r="AD89" s="396">
        <v>7</v>
      </c>
      <c r="AE89" s="396">
        <f t="shared" si="82"/>
        <v>7</v>
      </c>
    </row>
    <row r="90" spans="1:33" ht="30">
      <c r="A90" s="317" t="s">
        <v>237</v>
      </c>
      <c r="B90" s="318" t="s">
        <v>238</v>
      </c>
      <c r="C90" s="319" t="s">
        <v>129</v>
      </c>
      <c r="D90" s="325">
        <v>150696</v>
      </c>
      <c r="E90" s="325">
        <v>143752</v>
      </c>
      <c r="F90" s="322">
        <f t="shared" si="57"/>
        <v>-6944</v>
      </c>
      <c r="G90" s="314">
        <f t="shared" si="58"/>
        <v>0.95392047565960614</v>
      </c>
      <c r="H90" s="326"/>
      <c r="I90" s="346">
        <v>150696</v>
      </c>
      <c r="J90" s="346"/>
      <c r="K90" s="346"/>
      <c r="L90" s="346"/>
      <c r="M90" s="326"/>
      <c r="N90" s="346">
        <v>150696</v>
      </c>
      <c r="O90" s="346">
        <v>150696</v>
      </c>
      <c r="P90" s="346">
        <v>150696</v>
      </c>
      <c r="Q90" s="346">
        <v>150696</v>
      </c>
      <c r="R90" s="346">
        <v>150696</v>
      </c>
      <c r="S90" s="346">
        <v>150696</v>
      </c>
      <c r="T90" s="346">
        <v>150696</v>
      </c>
      <c r="U90" s="346">
        <v>150696</v>
      </c>
      <c r="V90" s="346">
        <v>150696</v>
      </c>
      <c r="W90" s="346">
        <v>150696</v>
      </c>
      <c r="X90" s="346">
        <v>150696</v>
      </c>
      <c r="Y90" s="346">
        <v>150696</v>
      </c>
      <c r="Z90" s="346">
        <v>150696</v>
      </c>
      <c r="AA90" s="346">
        <v>150696</v>
      </c>
      <c r="AB90" s="346">
        <v>150696</v>
      </c>
      <c r="AC90" s="346">
        <v>150696</v>
      </c>
      <c r="AD90" s="346">
        <v>150696</v>
      </c>
      <c r="AE90" s="346">
        <f t="shared" si="82"/>
        <v>150696</v>
      </c>
      <c r="AG90" s="2" t="s">
        <v>285</v>
      </c>
    </row>
    <row r="91" spans="1:33" ht="30">
      <c r="A91" s="317" t="s">
        <v>239</v>
      </c>
      <c r="B91" s="318" t="s">
        <v>240</v>
      </c>
      <c r="C91" s="319" t="s">
        <v>241</v>
      </c>
      <c r="D91" s="325">
        <v>8760</v>
      </c>
      <c r="E91" s="325">
        <v>8760</v>
      </c>
      <c r="F91" s="322">
        <f t="shared" si="57"/>
        <v>0</v>
      </c>
      <c r="G91" s="314">
        <f t="shared" si="58"/>
        <v>1</v>
      </c>
      <c r="H91" s="326"/>
      <c r="I91" s="346">
        <v>8760</v>
      </c>
      <c r="J91" s="346"/>
      <c r="K91" s="346"/>
      <c r="L91" s="346"/>
      <c r="M91" s="326"/>
      <c r="N91" s="346">
        <v>8760</v>
      </c>
      <c r="O91" s="346">
        <v>8784</v>
      </c>
      <c r="P91" s="346">
        <v>8760</v>
      </c>
      <c r="Q91" s="346">
        <v>8760</v>
      </c>
      <c r="R91" s="346">
        <v>8760</v>
      </c>
      <c r="S91" s="346">
        <v>8784</v>
      </c>
      <c r="T91" s="346">
        <v>8760</v>
      </c>
      <c r="U91" s="346">
        <v>8760</v>
      </c>
      <c r="V91" s="346">
        <v>8760</v>
      </c>
      <c r="W91" s="346">
        <v>8784</v>
      </c>
      <c r="X91" s="346">
        <v>8760</v>
      </c>
      <c r="Y91" s="346">
        <v>8760</v>
      </c>
      <c r="Z91" s="346">
        <v>8760</v>
      </c>
      <c r="AA91" s="346">
        <v>8784</v>
      </c>
      <c r="AB91" s="346">
        <v>8760</v>
      </c>
      <c r="AC91" s="346">
        <v>8760</v>
      </c>
      <c r="AD91" s="346">
        <v>8760</v>
      </c>
      <c r="AE91" s="346">
        <f t="shared" si="82"/>
        <v>8760</v>
      </c>
      <c r="AG91" s="2" t="s">
        <v>298</v>
      </c>
    </row>
    <row r="92" spans="1:33" ht="30">
      <c r="A92" s="317" t="s">
        <v>242</v>
      </c>
      <c r="B92" s="318" t="s">
        <v>243</v>
      </c>
      <c r="C92" s="319" t="s">
        <v>241</v>
      </c>
      <c r="D92" s="325">
        <v>9256</v>
      </c>
      <c r="E92" s="325">
        <v>2226</v>
      </c>
      <c r="F92" s="322">
        <f t="shared" si="57"/>
        <v>-7030</v>
      </c>
      <c r="G92" s="314">
        <f t="shared" si="58"/>
        <v>0.24049265341400172</v>
      </c>
      <c r="H92" s="382"/>
      <c r="I92" s="346">
        <v>9256</v>
      </c>
      <c r="J92" s="346"/>
      <c r="K92" s="346"/>
      <c r="L92" s="346"/>
      <c r="M92" s="382" t="s">
        <v>301</v>
      </c>
      <c r="N92" s="346">
        <v>9256</v>
      </c>
      <c r="O92" s="346">
        <v>9256</v>
      </c>
      <c r="P92" s="346">
        <v>9256</v>
      </c>
      <c r="Q92" s="346">
        <v>8732</v>
      </c>
      <c r="R92" s="346">
        <v>8732</v>
      </c>
      <c r="S92" s="346">
        <v>8732</v>
      </c>
      <c r="T92" s="346">
        <v>8732</v>
      </c>
      <c r="U92" s="346">
        <v>8732</v>
      </c>
      <c r="V92" s="346">
        <v>8400</v>
      </c>
      <c r="W92" s="346">
        <v>8400</v>
      </c>
      <c r="X92" s="346">
        <v>8400</v>
      </c>
      <c r="Y92" s="346">
        <v>8400</v>
      </c>
      <c r="Z92" s="346">
        <v>8400</v>
      </c>
      <c r="AA92" s="346">
        <v>8027</v>
      </c>
      <c r="AB92" s="346">
        <v>8027</v>
      </c>
      <c r="AC92" s="346">
        <v>8027</v>
      </c>
      <c r="AD92" s="346">
        <v>8027</v>
      </c>
      <c r="AE92" s="346">
        <f t="shared" si="82"/>
        <v>8027</v>
      </c>
      <c r="AG92" s="2" t="s">
        <v>298</v>
      </c>
    </row>
    <row r="93" spans="1:33" s="295" customFormat="1" ht="14.25">
      <c r="A93" s="590" t="s">
        <v>244</v>
      </c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</row>
    <row r="94" spans="1:33" s="295" customFormat="1" ht="14.25">
      <c r="A94" s="361" t="s">
        <v>245</v>
      </c>
      <c r="B94" s="362" t="s">
        <v>246</v>
      </c>
      <c r="C94" s="363" t="s">
        <v>84</v>
      </c>
      <c r="D94" s="383" t="e">
        <f t="shared" ref="D94:I94" si="87">D95+D98</f>
        <v>#REF!</v>
      </c>
      <c r="E94" s="383" t="e">
        <f t="shared" si="87"/>
        <v>#REF!</v>
      </c>
      <c r="F94" s="364" t="e">
        <f t="shared" ref="F94:F110" si="88">E94-D94</f>
        <v>#REF!</v>
      </c>
      <c r="G94" s="308" t="e">
        <f t="shared" ref="G94:G110" si="89">E94/D94</f>
        <v>#REF!</v>
      </c>
      <c r="H94" s="384"/>
      <c r="I94" s="399">
        <f t="shared" si="87"/>
        <v>1.2305220000000003</v>
      </c>
      <c r="J94" s="399"/>
      <c r="K94" s="399"/>
      <c r="L94" s="399"/>
      <c r="M94" s="399"/>
      <c r="N94" s="399">
        <f t="shared" ref="N94:AD94" si="90">N95+N98</f>
        <v>1.2305220000000003</v>
      </c>
      <c r="O94" s="399">
        <f t="shared" si="90"/>
        <v>1.2305220000000003</v>
      </c>
      <c r="P94" s="399">
        <f t="shared" si="90"/>
        <v>1.2305220000000003</v>
      </c>
      <c r="Q94" s="399">
        <f t="shared" si="90"/>
        <v>1.2769999999999999</v>
      </c>
      <c r="R94" s="399">
        <f t="shared" si="90"/>
        <v>1.2769999999999999</v>
      </c>
      <c r="S94" s="399">
        <f t="shared" si="90"/>
        <v>1.2769999999999999</v>
      </c>
      <c r="T94" s="399">
        <f t="shared" si="90"/>
        <v>1.2769999999999999</v>
      </c>
      <c r="U94" s="399">
        <f t="shared" si="90"/>
        <v>1.2769999999999999</v>
      </c>
      <c r="V94" s="399">
        <f t="shared" si="90"/>
        <v>1.2769999999999999</v>
      </c>
      <c r="W94" s="399">
        <f t="shared" si="90"/>
        <v>1.2769999999999999</v>
      </c>
      <c r="X94" s="399">
        <f t="shared" si="90"/>
        <v>1.2769999999999999</v>
      </c>
      <c r="Y94" s="399">
        <f t="shared" si="90"/>
        <v>1.2769999999999999</v>
      </c>
      <c r="Z94" s="399">
        <f t="shared" si="90"/>
        <v>1.2769999999999999</v>
      </c>
      <c r="AA94" s="399">
        <f t="shared" si="90"/>
        <v>1.2769999999999999</v>
      </c>
      <c r="AB94" s="399">
        <f t="shared" si="90"/>
        <v>1.2769999999999999</v>
      </c>
      <c r="AC94" s="399">
        <f t="shared" si="90"/>
        <v>1.2769999999999999</v>
      </c>
      <c r="AD94" s="399">
        <f t="shared" si="90"/>
        <v>1.2769999999999999</v>
      </c>
      <c r="AE94" s="399">
        <f t="shared" ref="AE94:AE96" si="91">AD94</f>
        <v>1.2769999999999999</v>
      </c>
    </row>
    <row r="95" spans="1:33" ht="150">
      <c r="A95" s="125" t="s">
        <v>247</v>
      </c>
      <c r="B95" s="318" t="s">
        <v>83</v>
      </c>
      <c r="C95" s="341" t="s">
        <v>84</v>
      </c>
      <c r="D95" s="385" t="e">
        <f t="shared" ref="D95:I95" si="92">D97/D96</f>
        <v>#REF!</v>
      </c>
      <c r="E95" s="385" t="e">
        <f t="shared" si="92"/>
        <v>#REF!</v>
      </c>
      <c r="F95" s="322" t="e">
        <f t="shared" si="88"/>
        <v>#REF!</v>
      </c>
      <c r="G95" s="314" t="e">
        <f t="shared" si="89"/>
        <v>#REF!</v>
      </c>
      <c r="H95" s="386"/>
      <c r="I95" s="127">
        <f t="shared" si="92"/>
        <v>0.90052200000000016</v>
      </c>
      <c r="J95" s="127"/>
      <c r="K95" s="127"/>
      <c r="L95" s="127"/>
      <c r="M95" s="386" t="s">
        <v>302</v>
      </c>
      <c r="N95" s="127">
        <f t="shared" ref="N95:AD95" si="93">N97/N96</f>
        <v>0.90052200000000016</v>
      </c>
      <c r="O95" s="127">
        <f t="shared" si="93"/>
        <v>0.90052200000000016</v>
      </c>
      <c r="P95" s="127">
        <f t="shared" si="93"/>
        <v>0.90052200000000016</v>
      </c>
      <c r="Q95" s="127">
        <f t="shared" si="93"/>
        <v>0.93199999999999994</v>
      </c>
      <c r="R95" s="127">
        <f t="shared" si="93"/>
        <v>0.93199999999999994</v>
      </c>
      <c r="S95" s="127">
        <f t="shared" si="93"/>
        <v>0.93199999999999994</v>
      </c>
      <c r="T95" s="127">
        <f t="shared" si="93"/>
        <v>0.93199999999999994</v>
      </c>
      <c r="U95" s="127">
        <f t="shared" si="93"/>
        <v>0.93199999999999994</v>
      </c>
      <c r="V95" s="127">
        <f t="shared" si="93"/>
        <v>0.93199999999999994</v>
      </c>
      <c r="W95" s="127">
        <f t="shared" si="93"/>
        <v>0.93199999999999994</v>
      </c>
      <c r="X95" s="127">
        <f t="shared" si="93"/>
        <v>0.93199999999999994</v>
      </c>
      <c r="Y95" s="127">
        <f t="shared" si="93"/>
        <v>0.93199999999999994</v>
      </c>
      <c r="Z95" s="127">
        <f t="shared" si="93"/>
        <v>0.93199999999999994</v>
      </c>
      <c r="AA95" s="127">
        <f t="shared" si="93"/>
        <v>0.93199999999999994</v>
      </c>
      <c r="AB95" s="127">
        <f t="shared" si="93"/>
        <v>0.93199999999999994</v>
      </c>
      <c r="AC95" s="127">
        <f t="shared" si="93"/>
        <v>0.93199999999999994</v>
      </c>
      <c r="AD95" s="127">
        <f t="shared" si="93"/>
        <v>0.93199999999999994</v>
      </c>
      <c r="AE95" s="127">
        <f t="shared" si="91"/>
        <v>0.93199999999999994</v>
      </c>
    </row>
    <row r="96" spans="1:33" ht="105">
      <c r="A96" s="125" t="s">
        <v>248</v>
      </c>
      <c r="B96" s="310" t="s">
        <v>249</v>
      </c>
      <c r="C96" s="387" t="s">
        <v>250</v>
      </c>
      <c r="D96" s="337">
        <f t="shared" ref="D96:I96" si="94">D14</f>
        <v>18908.866977811202</v>
      </c>
      <c r="E96" s="337">
        <f t="shared" si="94"/>
        <v>19434.206999999999</v>
      </c>
      <c r="F96" s="322">
        <f t="shared" si="88"/>
        <v>525.34002218879687</v>
      </c>
      <c r="G96" s="314">
        <f t="shared" si="89"/>
        <v>1.0277827340371721</v>
      </c>
      <c r="H96" s="388"/>
      <c r="I96" s="352">
        <f t="shared" si="94"/>
        <v>18908.866977811202</v>
      </c>
      <c r="J96" s="352"/>
      <c r="K96" s="352"/>
      <c r="L96" s="352"/>
      <c r="M96" s="388" t="s">
        <v>303</v>
      </c>
      <c r="N96" s="352">
        <f t="shared" ref="N96:AD96" si="95">N14</f>
        <v>18908.866977811202</v>
      </c>
      <c r="O96" s="352">
        <f t="shared" si="95"/>
        <v>18908.866977811202</v>
      </c>
      <c r="P96" s="352">
        <f t="shared" si="95"/>
        <v>18908.866977811202</v>
      </c>
      <c r="Q96" s="352">
        <f t="shared" si="95"/>
        <v>19478.36</v>
      </c>
      <c r="R96" s="352">
        <f t="shared" si="95"/>
        <v>19478.36</v>
      </c>
      <c r="S96" s="352">
        <f t="shared" si="95"/>
        <v>19478.36</v>
      </c>
      <c r="T96" s="352">
        <f t="shared" si="95"/>
        <v>19478.36</v>
      </c>
      <c r="U96" s="352">
        <f t="shared" si="95"/>
        <v>19478.36</v>
      </c>
      <c r="V96" s="352">
        <f t="shared" si="95"/>
        <v>19478.36</v>
      </c>
      <c r="W96" s="352">
        <f t="shared" si="95"/>
        <v>19478.36</v>
      </c>
      <c r="X96" s="352">
        <f t="shared" si="95"/>
        <v>19478.36</v>
      </c>
      <c r="Y96" s="352">
        <f t="shared" si="95"/>
        <v>19478.36</v>
      </c>
      <c r="Z96" s="352">
        <f t="shared" si="95"/>
        <v>19478.36</v>
      </c>
      <c r="AA96" s="352">
        <f t="shared" si="95"/>
        <v>19478.36</v>
      </c>
      <c r="AB96" s="352">
        <f t="shared" si="95"/>
        <v>19478.36</v>
      </c>
      <c r="AC96" s="352">
        <f t="shared" si="95"/>
        <v>19478.36</v>
      </c>
      <c r="AD96" s="352">
        <f t="shared" si="95"/>
        <v>19478.36</v>
      </c>
      <c r="AE96" s="352">
        <f t="shared" si="91"/>
        <v>19478.36</v>
      </c>
      <c r="AG96" s="2" t="s">
        <v>285</v>
      </c>
    </row>
    <row r="97" spans="1:33" ht="105">
      <c r="A97" s="125" t="s">
        <v>251</v>
      </c>
      <c r="B97" s="310" t="s">
        <v>252</v>
      </c>
      <c r="C97" s="387" t="s">
        <v>253</v>
      </c>
      <c r="D97" s="337" t="e">
        <f>'Прил 3(5)'!#REF!</f>
        <v>#REF!</v>
      </c>
      <c r="E97" s="337" t="e">
        <f>'Прил 3(5)'!#REF!</f>
        <v>#REF!</v>
      </c>
      <c r="F97" s="322" t="e">
        <f t="shared" si="88"/>
        <v>#REF!</v>
      </c>
      <c r="G97" s="314" t="e">
        <f t="shared" si="89"/>
        <v>#REF!</v>
      </c>
      <c r="H97" s="388"/>
      <c r="I97" s="352">
        <v>17027.850708592501</v>
      </c>
      <c r="J97" s="352"/>
      <c r="K97" s="352"/>
      <c r="L97" s="352"/>
      <c r="M97" s="388" t="s">
        <v>304</v>
      </c>
      <c r="N97" s="352">
        <v>17027.850708592501</v>
      </c>
      <c r="O97" s="352">
        <v>17027.850708592501</v>
      </c>
      <c r="P97" s="352">
        <v>17027.850708592501</v>
      </c>
      <c r="Q97" s="352">
        <v>18153.83152</v>
      </c>
      <c r="R97" s="352">
        <v>18153.83152</v>
      </c>
      <c r="S97" s="352">
        <v>18153.83152</v>
      </c>
      <c r="T97" s="352">
        <v>18153.83152</v>
      </c>
      <c r="U97" s="352">
        <v>18153.83152</v>
      </c>
      <c r="V97" s="352">
        <v>18153.83152</v>
      </c>
      <c r="W97" s="352">
        <v>18153.83152</v>
      </c>
      <c r="X97" s="352">
        <v>18153.83152</v>
      </c>
      <c r="Y97" s="352">
        <v>18153.83152</v>
      </c>
      <c r="Z97" s="352">
        <v>18153.83152</v>
      </c>
      <c r="AA97" s="352">
        <v>18153.83152</v>
      </c>
      <c r="AB97" s="352">
        <v>18153.83152</v>
      </c>
      <c r="AC97" s="352">
        <v>18153.83152</v>
      </c>
      <c r="AD97" s="352">
        <v>18153.83152</v>
      </c>
      <c r="AE97" s="352">
        <v>18153.83152</v>
      </c>
      <c r="AG97" s="2" t="s">
        <v>305</v>
      </c>
    </row>
    <row r="98" spans="1:33" ht="60">
      <c r="A98" s="125" t="s">
        <v>254</v>
      </c>
      <c r="B98" s="318" t="s">
        <v>91</v>
      </c>
      <c r="C98" s="341" t="s">
        <v>84</v>
      </c>
      <c r="D98" s="385" t="e">
        <f t="shared" ref="D98:I98" si="96">D100/D99</f>
        <v>#REF!</v>
      </c>
      <c r="E98" s="385" t="e">
        <f t="shared" si="96"/>
        <v>#REF!</v>
      </c>
      <c r="F98" s="322" t="e">
        <f t="shared" si="88"/>
        <v>#REF!</v>
      </c>
      <c r="G98" s="314" t="e">
        <f t="shared" si="89"/>
        <v>#REF!</v>
      </c>
      <c r="H98" s="389"/>
      <c r="I98" s="127">
        <f t="shared" si="96"/>
        <v>0.33000000000000018</v>
      </c>
      <c r="J98" s="127"/>
      <c r="K98" s="127"/>
      <c r="L98" s="127"/>
      <c r="M98" s="389" t="s">
        <v>306</v>
      </c>
      <c r="N98" s="127">
        <f t="shared" ref="N98:AD98" si="97">N100/N99</f>
        <v>0.33000000000000018</v>
      </c>
      <c r="O98" s="127">
        <f t="shared" si="97"/>
        <v>0.33000000000000018</v>
      </c>
      <c r="P98" s="127">
        <f t="shared" si="97"/>
        <v>0.33000000000000018</v>
      </c>
      <c r="Q98" s="127">
        <f t="shared" si="97"/>
        <v>0.34499999999999997</v>
      </c>
      <c r="R98" s="127">
        <f t="shared" si="97"/>
        <v>0.34499999999999997</v>
      </c>
      <c r="S98" s="127">
        <f t="shared" si="97"/>
        <v>0.34499999999999997</v>
      </c>
      <c r="T98" s="127">
        <f t="shared" si="97"/>
        <v>0.34499999999999997</v>
      </c>
      <c r="U98" s="127">
        <f t="shared" si="97"/>
        <v>0.34499999999999997</v>
      </c>
      <c r="V98" s="127">
        <f t="shared" si="97"/>
        <v>0.34499999999999997</v>
      </c>
      <c r="W98" s="127">
        <f t="shared" si="97"/>
        <v>0.34499999999999997</v>
      </c>
      <c r="X98" s="127">
        <f t="shared" si="97"/>
        <v>0.34499999999999997</v>
      </c>
      <c r="Y98" s="127">
        <f t="shared" si="97"/>
        <v>0.34499999999999997</v>
      </c>
      <c r="Z98" s="127">
        <f t="shared" si="97"/>
        <v>0.34499999999999997</v>
      </c>
      <c r="AA98" s="127">
        <f t="shared" si="97"/>
        <v>0.34499999999999997</v>
      </c>
      <c r="AB98" s="127">
        <f t="shared" si="97"/>
        <v>0.34499999999999997</v>
      </c>
      <c r="AC98" s="127">
        <f t="shared" si="97"/>
        <v>0.34499999999999997</v>
      </c>
      <c r="AD98" s="127">
        <f t="shared" si="97"/>
        <v>0.34499999999999997</v>
      </c>
      <c r="AE98" s="127">
        <f>AD98</f>
        <v>0.34499999999999997</v>
      </c>
    </row>
    <row r="99" spans="1:33" ht="105">
      <c r="A99" s="125" t="s">
        <v>255</v>
      </c>
      <c r="B99" s="310" t="s">
        <v>256</v>
      </c>
      <c r="C99" s="387" t="s">
        <v>250</v>
      </c>
      <c r="D99" s="337">
        <f t="shared" ref="D99:I99" si="98">D14</f>
        <v>18908.866977811202</v>
      </c>
      <c r="E99" s="337">
        <f t="shared" si="98"/>
        <v>19434.206999999999</v>
      </c>
      <c r="F99" s="322">
        <f t="shared" si="88"/>
        <v>525.34002218879687</v>
      </c>
      <c r="G99" s="314">
        <f t="shared" si="89"/>
        <v>1.0277827340371721</v>
      </c>
      <c r="H99" s="320"/>
      <c r="I99" s="352">
        <f t="shared" si="98"/>
        <v>18908.866977811202</v>
      </c>
      <c r="J99" s="352"/>
      <c r="K99" s="352"/>
      <c r="L99" s="352"/>
      <c r="M99" s="320" t="s">
        <v>284</v>
      </c>
      <c r="N99" s="352">
        <f t="shared" ref="N99:AE99" si="99">N14</f>
        <v>18908.866977811202</v>
      </c>
      <c r="O99" s="352">
        <f t="shared" si="99"/>
        <v>18908.866977811202</v>
      </c>
      <c r="P99" s="352">
        <f t="shared" si="99"/>
        <v>18908.866977811202</v>
      </c>
      <c r="Q99" s="352">
        <f t="shared" si="99"/>
        <v>19478.36</v>
      </c>
      <c r="R99" s="352">
        <f t="shared" si="99"/>
        <v>19478.36</v>
      </c>
      <c r="S99" s="352">
        <f t="shared" si="99"/>
        <v>19478.36</v>
      </c>
      <c r="T99" s="352">
        <f t="shared" si="99"/>
        <v>19478.36</v>
      </c>
      <c r="U99" s="352">
        <f t="shared" si="99"/>
        <v>19478.36</v>
      </c>
      <c r="V99" s="352">
        <f t="shared" si="99"/>
        <v>19478.36</v>
      </c>
      <c r="W99" s="352">
        <f t="shared" si="99"/>
        <v>19478.36</v>
      </c>
      <c r="X99" s="352">
        <f t="shared" si="99"/>
        <v>19478.36</v>
      </c>
      <c r="Y99" s="352">
        <f t="shared" si="99"/>
        <v>19478.36</v>
      </c>
      <c r="Z99" s="352">
        <f t="shared" si="99"/>
        <v>19478.36</v>
      </c>
      <c r="AA99" s="352">
        <f t="shared" si="99"/>
        <v>19478.36</v>
      </c>
      <c r="AB99" s="352">
        <f t="shared" si="99"/>
        <v>19478.36</v>
      </c>
      <c r="AC99" s="352">
        <f t="shared" si="99"/>
        <v>19478.36</v>
      </c>
      <c r="AD99" s="352">
        <f t="shared" si="99"/>
        <v>19478.36</v>
      </c>
      <c r="AE99" s="352">
        <f t="shared" si="99"/>
        <v>19478.36</v>
      </c>
      <c r="AG99" s="2" t="s">
        <v>285</v>
      </c>
    </row>
    <row r="100" spans="1:33" ht="45">
      <c r="A100" s="125" t="s">
        <v>257</v>
      </c>
      <c r="B100" s="310" t="s">
        <v>252</v>
      </c>
      <c r="C100" s="387" t="s">
        <v>253</v>
      </c>
      <c r="D100" s="337" t="e">
        <f>'Прил 3(5)'!#REF!</f>
        <v>#REF!</v>
      </c>
      <c r="E100" s="337" t="e">
        <f>'Прил 3(5)'!#REF!</f>
        <v>#REF!</v>
      </c>
      <c r="F100" s="322" t="e">
        <f t="shared" si="88"/>
        <v>#REF!</v>
      </c>
      <c r="G100" s="314" t="e">
        <f t="shared" si="89"/>
        <v>#REF!</v>
      </c>
      <c r="H100" s="390"/>
      <c r="I100" s="352">
        <v>6239.9261026777003</v>
      </c>
      <c r="J100" s="352"/>
      <c r="K100" s="352"/>
      <c r="L100" s="352"/>
      <c r="M100" s="390" t="s">
        <v>307</v>
      </c>
      <c r="N100" s="352">
        <v>6239.9261026777003</v>
      </c>
      <c r="O100" s="352">
        <v>6239.9261026777003</v>
      </c>
      <c r="P100" s="352">
        <v>6239.9261026777003</v>
      </c>
      <c r="Q100" s="352">
        <v>6720.0342000000001</v>
      </c>
      <c r="R100" s="352">
        <v>6720.0342000000001</v>
      </c>
      <c r="S100" s="352">
        <v>6720.0342000000001</v>
      </c>
      <c r="T100" s="352">
        <v>6720.0342000000001</v>
      </c>
      <c r="U100" s="352">
        <v>6720.0342000000001</v>
      </c>
      <c r="V100" s="352">
        <v>6720.0342000000001</v>
      </c>
      <c r="W100" s="352">
        <v>6720.0342000000001</v>
      </c>
      <c r="X100" s="352">
        <v>6720.0342000000001</v>
      </c>
      <c r="Y100" s="352">
        <v>6720.0342000000001</v>
      </c>
      <c r="Z100" s="352">
        <v>6720.0342000000001</v>
      </c>
      <c r="AA100" s="352">
        <v>6720.0342000000001</v>
      </c>
      <c r="AB100" s="352">
        <v>6720.0342000000001</v>
      </c>
      <c r="AC100" s="352">
        <v>6720.0342000000001</v>
      </c>
      <c r="AD100" s="352">
        <v>6720.0342000000001</v>
      </c>
      <c r="AE100" s="352">
        <v>6720.0342000000001</v>
      </c>
      <c r="AG100" s="2" t="s">
        <v>305</v>
      </c>
    </row>
    <row r="101" spans="1:33" ht="150">
      <c r="A101" s="125" t="s">
        <v>258</v>
      </c>
      <c r="B101" s="318" t="s">
        <v>259</v>
      </c>
      <c r="C101" s="341" t="s">
        <v>84</v>
      </c>
      <c r="D101" s="378" t="e">
        <f t="shared" ref="D101:I101" si="100">D103/D102</f>
        <v>#REF!</v>
      </c>
      <c r="E101" s="378" t="e">
        <f t="shared" si="100"/>
        <v>#REF!</v>
      </c>
      <c r="F101" s="322" t="e">
        <f t="shared" si="88"/>
        <v>#REF!</v>
      </c>
      <c r="G101" s="314" t="e">
        <f t="shared" si="89"/>
        <v>#REF!</v>
      </c>
      <c r="H101" s="391"/>
      <c r="I101" s="400">
        <f t="shared" si="100"/>
        <v>1.2305220000000003</v>
      </c>
      <c r="J101" s="400"/>
      <c r="K101" s="400"/>
      <c r="L101" s="400"/>
      <c r="M101" s="391" t="s">
        <v>302</v>
      </c>
      <c r="N101" s="400">
        <f t="shared" ref="N101:AE101" si="101">N103/N102</f>
        <v>1.2305220000000003</v>
      </c>
      <c r="O101" s="400">
        <f t="shared" si="101"/>
        <v>1.2305220000000003</v>
      </c>
      <c r="P101" s="400">
        <f t="shared" si="101"/>
        <v>1.2305220000000003</v>
      </c>
      <c r="Q101" s="400">
        <f t="shared" si="101"/>
        <v>1.2770000000000001</v>
      </c>
      <c r="R101" s="400">
        <f t="shared" si="101"/>
        <v>1.2770000000000001</v>
      </c>
      <c r="S101" s="400">
        <f t="shared" si="101"/>
        <v>1.2770000000000001</v>
      </c>
      <c r="T101" s="400">
        <f t="shared" si="101"/>
        <v>1.2770000000000001</v>
      </c>
      <c r="U101" s="400">
        <f t="shared" si="101"/>
        <v>1.2770000000000001</v>
      </c>
      <c r="V101" s="400">
        <f t="shared" si="101"/>
        <v>1.2770000000000001</v>
      </c>
      <c r="W101" s="400">
        <f t="shared" si="101"/>
        <v>1.2770000000000001</v>
      </c>
      <c r="X101" s="400">
        <f t="shared" si="101"/>
        <v>1.2770000000000001</v>
      </c>
      <c r="Y101" s="400">
        <f t="shared" si="101"/>
        <v>1.2770000000000001</v>
      </c>
      <c r="Z101" s="400">
        <f t="shared" si="101"/>
        <v>1.2770000000000001</v>
      </c>
      <c r="AA101" s="400">
        <f t="shared" si="101"/>
        <v>1.2770000000000001</v>
      </c>
      <c r="AB101" s="400">
        <f t="shared" si="101"/>
        <v>1.2770000000000001</v>
      </c>
      <c r="AC101" s="400">
        <f t="shared" si="101"/>
        <v>1.2770000000000001</v>
      </c>
      <c r="AD101" s="400">
        <f t="shared" si="101"/>
        <v>1.2770000000000001</v>
      </c>
      <c r="AE101" s="400">
        <f t="shared" si="101"/>
        <v>1.2770000000000001</v>
      </c>
    </row>
    <row r="102" spans="1:33" ht="105">
      <c r="A102" s="125" t="s">
        <v>260</v>
      </c>
      <c r="B102" s="310" t="s">
        <v>261</v>
      </c>
      <c r="C102" s="387" t="s">
        <v>250</v>
      </c>
      <c r="D102" s="337">
        <f t="shared" ref="D102:I102" si="102">D14</f>
        <v>18908.866977811202</v>
      </c>
      <c r="E102" s="337">
        <f t="shared" si="102"/>
        <v>19434.206999999999</v>
      </c>
      <c r="F102" s="322">
        <f t="shared" si="88"/>
        <v>525.34002218879687</v>
      </c>
      <c r="G102" s="314">
        <f t="shared" si="89"/>
        <v>1.0277827340371721</v>
      </c>
      <c r="H102" s="388"/>
      <c r="I102" s="352">
        <f t="shared" si="102"/>
        <v>18908.866977811202</v>
      </c>
      <c r="J102" s="352"/>
      <c r="K102" s="352"/>
      <c r="L102" s="352"/>
      <c r="M102" s="388" t="s">
        <v>308</v>
      </c>
      <c r="N102" s="352">
        <f t="shared" ref="N102:P102" si="103">N14</f>
        <v>18908.866977811202</v>
      </c>
      <c r="O102" s="352">
        <f t="shared" si="103"/>
        <v>18908.866977811202</v>
      </c>
      <c r="P102" s="352">
        <f t="shared" si="103"/>
        <v>18908.866977811202</v>
      </c>
      <c r="Q102" s="352">
        <v>19478.36</v>
      </c>
      <c r="R102" s="352">
        <v>19478.36</v>
      </c>
      <c r="S102" s="352">
        <v>19478.36</v>
      </c>
      <c r="T102" s="352">
        <v>19478.36</v>
      </c>
      <c r="U102" s="352">
        <v>19478.36</v>
      </c>
      <c r="V102" s="352">
        <v>19478.36</v>
      </c>
      <c r="W102" s="352">
        <v>19478.36</v>
      </c>
      <c r="X102" s="352">
        <v>19478.36</v>
      </c>
      <c r="Y102" s="352">
        <v>19478.36</v>
      </c>
      <c r="Z102" s="352">
        <v>19478.36</v>
      </c>
      <c r="AA102" s="352">
        <v>19478.36</v>
      </c>
      <c r="AB102" s="352">
        <v>19478.36</v>
      </c>
      <c r="AC102" s="352">
        <v>19478.36</v>
      </c>
      <c r="AD102" s="352">
        <v>19478.36</v>
      </c>
      <c r="AE102" s="352">
        <v>19478.36</v>
      </c>
      <c r="AG102" s="2" t="s">
        <v>285</v>
      </c>
    </row>
    <row r="103" spans="1:33" ht="147.94999999999999" customHeight="1">
      <c r="A103" s="125" t="s">
        <v>262</v>
      </c>
      <c r="B103" s="310" t="s">
        <v>252</v>
      </c>
      <c r="C103" s="387" t="s">
        <v>253</v>
      </c>
      <c r="D103" s="337" t="e">
        <f t="shared" ref="D103:I103" si="104">D97+D100</f>
        <v>#REF!</v>
      </c>
      <c r="E103" s="337" t="e">
        <f t="shared" si="104"/>
        <v>#REF!</v>
      </c>
      <c r="F103" s="322" t="e">
        <f t="shared" si="88"/>
        <v>#REF!</v>
      </c>
      <c r="G103" s="314" t="e">
        <f t="shared" si="89"/>
        <v>#REF!</v>
      </c>
      <c r="H103" s="388"/>
      <c r="I103" s="352">
        <f t="shared" si="104"/>
        <v>23267.776811270203</v>
      </c>
      <c r="J103" s="352"/>
      <c r="K103" s="352"/>
      <c r="L103" s="352"/>
      <c r="M103" s="388" t="s">
        <v>304</v>
      </c>
      <c r="N103" s="352">
        <f t="shared" ref="N103:AE103" si="105">N97+N100</f>
        <v>23267.776811270203</v>
      </c>
      <c r="O103" s="352">
        <f t="shared" si="105"/>
        <v>23267.776811270203</v>
      </c>
      <c r="P103" s="352">
        <f t="shared" si="105"/>
        <v>23267.776811270203</v>
      </c>
      <c r="Q103" s="352">
        <f t="shared" si="105"/>
        <v>24873.865720000002</v>
      </c>
      <c r="R103" s="352">
        <f t="shared" si="105"/>
        <v>24873.865720000002</v>
      </c>
      <c r="S103" s="352">
        <f t="shared" si="105"/>
        <v>24873.865720000002</v>
      </c>
      <c r="T103" s="352">
        <f t="shared" si="105"/>
        <v>24873.865720000002</v>
      </c>
      <c r="U103" s="352">
        <f t="shared" si="105"/>
        <v>24873.865720000002</v>
      </c>
      <c r="V103" s="352">
        <f t="shared" si="105"/>
        <v>24873.865720000002</v>
      </c>
      <c r="W103" s="352">
        <f t="shared" si="105"/>
        <v>24873.865720000002</v>
      </c>
      <c r="X103" s="352">
        <f t="shared" si="105"/>
        <v>24873.865720000002</v>
      </c>
      <c r="Y103" s="352">
        <f t="shared" si="105"/>
        <v>24873.865720000002</v>
      </c>
      <c r="Z103" s="352">
        <f t="shared" si="105"/>
        <v>24873.865720000002</v>
      </c>
      <c r="AA103" s="352">
        <f t="shared" si="105"/>
        <v>24873.865720000002</v>
      </c>
      <c r="AB103" s="352">
        <f t="shared" si="105"/>
        <v>24873.865720000002</v>
      </c>
      <c r="AC103" s="352">
        <f t="shared" si="105"/>
        <v>24873.865720000002</v>
      </c>
      <c r="AD103" s="352">
        <f t="shared" si="105"/>
        <v>24873.865720000002</v>
      </c>
      <c r="AE103" s="352">
        <f t="shared" si="105"/>
        <v>24873.865720000002</v>
      </c>
      <c r="AG103" s="2" t="s">
        <v>305</v>
      </c>
    </row>
    <row r="104" spans="1:33" s="295" customFormat="1">
      <c r="A104" s="361" t="s">
        <v>263</v>
      </c>
      <c r="B104" s="362" t="s">
        <v>264</v>
      </c>
      <c r="C104" s="363" t="s">
        <v>84</v>
      </c>
      <c r="D104" s="383" t="e">
        <f t="shared" ref="D104:I104" si="106">D105+D108</f>
        <v>#REF!</v>
      </c>
      <c r="E104" s="383" t="e">
        <f t="shared" si="106"/>
        <v>#REF!</v>
      </c>
      <c r="F104" s="322" t="e">
        <f t="shared" si="88"/>
        <v>#REF!</v>
      </c>
      <c r="G104" s="314" t="e">
        <f t="shared" si="89"/>
        <v>#REF!</v>
      </c>
      <c r="H104" s="384"/>
      <c r="I104" s="399">
        <f t="shared" si="106"/>
        <v>0.58611300000000011</v>
      </c>
      <c r="J104" s="399"/>
      <c r="K104" s="399"/>
      <c r="L104" s="399"/>
      <c r="M104" s="384"/>
      <c r="N104" s="399">
        <f t="shared" ref="N104:AD104" si="107">N105+N108</f>
        <v>0.58611300000000011</v>
      </c>
      <c r="O104" s="399">
        <f t="shared" si="107"/>
        <v>0.58611300000000011</v>
      </c>
      <c r="P104" s="399">
        <f t="shared" si="107"/>
        <v>0.58611300000000011</v>
      </c>
      <c r="Q104" s="399">
        <f t="shared" si="107"/>
        <v>0.55638371802213604</v>
      </c>
      <c r="R104" s="399">
        <f t="shared" si="107"/>
        <v>0.55638371802213604</v>
      </c>
      <c r="S104" s="399">
        <f t="shared" si="107"/>
        <v>0.55638371802213604</v>
      </c>
      <c r="T104" s="399">
        <f t="shared" si="107"/>
        <v>0.55638371802213604</v>
      </c>
      <c r="U104" s="399">
        <f t="shared" si="107"/>
        <v>0.55638371802213604</v>
      </c>
      <c r="V104" s="399">
        <f t="shared" si="107"/>
        <v>0.55638371802213604</v>
      </c>
      <c r="W104" s="399">
        <f t="shared" si="107"/>
        <v>0.55638371802213604</v>
      </c>
      <c r="X104" s="399">
        <f t="shared" si="107"/>
        <v>0.55638371802213604</v>
      </c>
      <c r="Y104" s="399">
        <f t="shared" si="107"/>
        <v>0.55638371802213604</v>
      </c>
      <c r="Z104" s="399">
        <f t="shared" si="107"/>
        <v>0.55638371802213604</v>
      </c>
      <c r="AA104" s="399">
        <f t="shared" si="107"/>
        <v>0.55638371802213604</v>
      </c>
      <c r="AB104" s="399">
        <f t="shared" si="107"/>
        <v>0.55638371802213604</v>
      </c>
      <c r="AC104" s="399">
        <f t="shared" si="107"/>
        <v>0.55638371802213604</v>
      </c>
      <c r="AD104" s="399">
        <f t="shared" si="107"/>
        <v>0.55638371802213604</v>
      </c>
      <c r="AE104" s="399">
        <f t="shared" ref="AE104:AE106" si="108">AD104</f>
        <v>0.55638371802213604</v>
      </c>
    </row>
    <row r="105" spans="1:33" ht="45">
      <c r="A105" s="125" t="s">
        <v>265</v>
      </c>
      <c r="B105" s="318" t="s">
        <v>101</v>
      </c>
      <c r="C105" s="341" t="s">
        <v>84</v>
      </c>
      <c r="D105" s="385" t="e">
        <f t="shared" ref="D105:I105" si="109">D107/D106</f>
        <v>#REF!</v>
      </c>
      <c r="E105" s="385" t="e">
        <f t="shared" si="109"/>
        <v>#REF!</v>
      </c>
      <c r="F105" s="322" t="e">
        <f t="shared" si="88"/>
        <v>#REF!</v>
      </c>
      <c r="G105" s="314" t="e">
        <f t="shared" si="89"/>
        <v>#REF!</v>
      </c>
      <c r="H105" s="392"/>
      <c r="I105" s="401">
        <f t="shared" si="109"/>
        <v>0.4561130000000001</v>
      </c>
      <c r="J105" s="401"/>
      <c r="K105" s="401"/>
      <c r="L105" s="401"/>
      <c r="M105" s="392" t="s">
        <v>309</v>
      </c>
      <c r="N105" s="401">
        <f t="shared" ref="N105:AD105" si="110">N107/N106</f>
        <v>0.4561130000000001</v>
      </c>
      <c r="O105" s="401">
        <f t="shared" si="110"/>
        <v>0.4561130000000001</v>
      </c>
      <c r="P105" s="401">
        <f t="shared" si="110"/>
        <v>0.4561130000000001</v>
      </c>
      <c r="Q105" s="401">
        <f t="shared" si="110"/>
        <v>0.45100000000000001</v>
      </c>
      <c r="R105" s="401">
        <f t="shared" si="110"/>
        <v>0.45100000000000001</v>
      </c>
      <c r="S105" s="401">
        <f t="shared" si="110"/>
        <v>0.45100000000000001</v>
      </c>
      <c r="T105" s="401">
        <f t="shared" si="110"/>
        <v>0.45100000000000001</v>
      </c>
      <c r="U105" s="401">
        <f t="shared" si="110"/>
        <v>0.45100000000000001</v>
      </c>
      <c r="V105" s="401">
        <f t="shared" si="110"/>
        <v>0.45100000000000001</v>
      </c>
      <c r="W105" s="401">
        <f t="shared" si="110"/>
        <v>0.45100000000000001</v>
      </c>
      <c r="X105" s="401">
        <f t="shared" si="110"/>
        <v>0.45100000000000001</v>
      </c>
      <c r="Y105" s="401">
        <f t="shared" si="110"/>
        <v>0.45100000000000001</v>
      </c>
      <c r="Z105" s="401">
        <f t="shared" si="110"/>
        <v>0.45100000000000001</v>
      </c>
      <c r="AA105" s="401">
        <f t="shared" si="110"/>
        <v>0.45100000000000001</v>
      </c>
      <c r="AB105" s="401">
        <f t="shared" si="110"/>
        <v>0.45100000000000001</v>
      </c>
      <c r="AC105" s="401">
        <f t="shared" si="110"/>
        <v>0.45100000000000001</v>
      </c>
      <c r="AD105" s="401">
        <f t="shared" si="110"/>
        <v>0.45100000000000001</v>
      </c>
      <c r="AE105" s="401">
        <f t="shared" si="108"/>
        <v>0.45100000000000001</v>
      </c>
    </row>
    <row r="106" spans="1:33" ht="45">
      <c r="A106" s="125" t="s">
        <v>266</v>
      </c>
      <c r="B106" s="310" t="s">
        <v>267</v>
      </c>
      <c r="C106" s="387" t="s">
        <v>250</v>
      </c>
      <c r="D106" s="337">
        <f t="shared" ref="D106:I106" si="111">D51</f>
        <v>17376.759452999999</v>
      </c>
      <c r="E106" s="337">
        <f t="shared" si="111"/>
        <v>17684.364000000001</v>
      </c>
      <c r="F106" s="322">
        <f t="shared" si="88"/>
        <v>307.60454700000264</v>
      </c>
      <c r="G106" s="314">
        <f t="shared" si="89"/>
        <v>1.0177020662472769</v>
      </c>
      <c r="H106" s="393"/>
      <c r="I106" s="354">
        <f t="shared" si="111"/>
        <v>17376.759452999999</v>
      </c>
      <c r="J106" s="354"/>
      <c r="K106" s="354"/>
      <c r="L106" s="354"/>
      <c r="M106" s="393" t="s">
        <v>290</v>
      </c>
      <c r="N106" s="354">
        <f t="shared" ref="N106:AD106" si="112">N51</f>
        <v>17376.759452999999</v>
      </c>
      <c r="O106" s="354">
        <f t="shared" si="112"/>
        <v>17376.759452999999</v>
      </c>
      <c r="P106" s="354">
        <f t="shared" si="112"/>
        <v>17376.759452999999</v>
      </c>
      <c r="Q106" s="354">
        <f t="shared" si="112"/>
        <v>18352.93</v>
      </c>
      <c r="R106" s="354">
        <f t="shared" si="112"/>
        <v>18352.93</v>
      </c>
      <c r="S106" s="354">
        <f t="shared" si="112"/>
        <v>18352.93</v>
      </c>
      <c r="T106" s="354">
        <f t="shared" si="112"/>
        <v>18352.93</v>
      </c>
      <c r="U106" s="354">
        <f t="shared" si="112"/>
        <v>18352.93</v>
      </c>
      <c r="V106" s="354">
        <f t="shared" si="112"/>
        <v>18352.93</v>
      </c>
      <c r="W106" s="354">
        <f t="shared" si="112"/>
        <v>18352.93</v>
      </c>
      <c r="X106" s="354">
        <f t="shared" si="112"/>
        <v>18352.93</v>
      </c>
      <c r="Y106" s="354">
        <f t="shared" si="112"/>
        <v>18352.93</v>
      </c>
      <c r="Z106" s="354">
        <f t="shared" si="112"/>
        <v>18352.93</v>
      </c>
      <c r="AA106" s="354">
        <f t="shared" si="112"/>
        <v>18352.93</v>
      </c>
      <c r="AB106" s="354">
        <f t="shared" si="112"/>
        <v>18352.93</v>
      </c>
      <c r="AC106" s="354">
        <f t="shared" si="112"/>
        <v>18352.93</v>
      </c>
      <c r="AD106" s="354">
        <f t="shared" si="112"/>
        <v>18352.93</v>
      </c>
      <c r="AE106" s="354">
        <f t="shared" si="108"/>
        <v>18352.93</v>
      </c>
      <c r="AG106" s="2" t="s">
        <v>285</v>
      </c>
    </row>
    <row r="107" spans="1:33">
      <c r="A107" s="125" t="s">
        <v>268</v>
      </c>
      <c r="B107" s="310" t="s">
        <v>252</v>
      </c>
      <c r="C107" s="387" t="s">
        <v>253</v>
      </c>
      <c r="D107" s="312" t="e">
        <f>'Прил 3(5)'!#REF!</f>
        <v>#REF!</v>
      </c>
      <c r="E107" s="312" t="e">
        <f>'Прил 3(5)'!#REF!</f>
        <v>#REF!</v>
      </c>
      <c r="F107" s="322" t="e">
        <f t="shared" si="88"/>
        <v>#REF!</v>
      </c>
      <c r="G107" s="314" t="e">
        <f t="shared" si="89"/>
        <v>#REF!</v>
      </c>
      <c r="H107" s="315"/>
      <c r="I107" s="124">
        <v>7925.76588438619</v>
      </c>
      <c r="J107" s="124"/>
      <c r="K107" s="124"/>
      <c r="L107" s="124"/>
      <c r="M107" s="315"/>
      <c r="N107" s="124">
        <v>7925.76588438619</v>
      </c>
      <c r="O107" s="124">
        <v>7925.76588438619</v>
      </c>
      <c r="P107" s="124">
        <v>7925.76588438619</v>
      </c>
      <c r="Q107" s="124">
        <v>8277.1714300000003</v>
      </c>
      <c r="R107" s="124">
        <v>8277.1714300000003</v>
      </c>
      <c r="S107" s="124">
        <v>8277.1714300000003</v>
      </c>
      <c r="T107" s="124">
        <v>8277.1714300000003</v>
      </c>
      <c r="U107" s="124">
        <v>8277.1714300000003</v>
      </c>
      <c r="V107" s="124">
        <v>8277.1714300000003</v>
      </c>
      <c r="W107" s="124">
        <v>8277.1714300000003</v>
      </c>
      <c r="X107" s="124">
        <v>8277.1714300000003</v>
      </c>
      <c r="Y107" s="124">
        <v>8277.1714300000003</v>
      </c>
      <c r="Z107" s="124">
        <v>8277.1714300000003</v>
      </c>
      <c r="AA107" s="124">
        <v>8277.1714300000003</v>
      </c>
      <c r="AB107" s="124">
        <v>8277.1714300000003</v>
      </c>
      <c r="AC107" s="124">
        <v>8277.1714300000003</v>
      </c>
      <c r="AD107" s="124">
        <v>8277.1714300000003</v>
      </c>
      <c r="AE107" s="124">
        <v>8277.1714300000003</v>
      </c>
      <c r="AG107" s="2" t="s">
        <v>305</v>
      </c>
    </row>
    <row r="108" spans="1:33" ht="45">
      <c r="A108" s="125" t="s">
        <v>269</v>
      </c>
      <c r="B108" s="318" t="s">
        <v>106</v>
      </c>
      <c r="C108" s="341" t="s">
        <v>84</v>
      </c>
      <c r="D108" s="385" t="e">
        <f t="shared" ref="D108:I108" si="113">D110/D109</f>
        <v>#REF!</v>
      </c>
      <c r="E108" s="385" t="e">
        <f t="shared" si="113"/>
        <v>#REF!</v>
      </c>
      <c r="F108" s="322" t="e">
        <f t="shared" si="88"/>
        <v>#REF!</v>
      </c>
      <c r="G108" s="314" t="e">
        <f t="shared" si="89"/>
        <v>#REF!</v>
      </c>
      <c r="H108" s="394"/>
      <c r="I108" s="401">
        <f t="shared" si="113"/>
        <v>0.13000000000000003</v>
      </c>
      <c r="J108" s="401"/>
      <c r="K108" s="401"/>
      <c r="L108" s="401"/>
      <c r="M108" s="394" t="s">
        <v>310</v>
      </c>
      <c r="N108" s="401">
        <f t="shared" ref="N108:AD108" si="114">N110/N109</f>
        <v>0.13000000000000003</v>
      </c>
      <c r="O108" s="401">
        <f t="shared" si="114"/>
        <v>0.13000000000000003</v>
      </c>
      <c r="P108" s="401">
        <f t="shared" si="114"/>
        <v>0.13000000000000003</v>
      </c>
      <c r="Q108" s="401">
        <f t="shared" si="114"/>
        <v>0.10538371802213597</v>
      </c>
      <c r="R108" s="401">
        <f t="shared" si="114"/>
        <v>0.10538371802213597</v>
      </c>
      <c r="S108" s="401">
        <f t="shared" si="114"/>
        <v>0.10538371802213597</v>
      </c>
      <c r="T108" s="401">
        <f t="shared" si="114"/>
        <v>0.10538371802213597</v>
      </c>
      <c r="U108" s="401">
        <f t="shared" si="114"/>
        <v>0.10538371802213597</v>
      </c>
      <c r="V108" s="401">
        <f t="shared" si="114"/>
        <v>0.10538371802213597</v>
      </c>
      <c r="W108" s="401">
        <f t="shared" si="114"/>
        <v>0.10538371802213597</v>
      </c>
      <c r="X108" s="401">
        <f t="shared" si="114"/>
        <v>0.10538371802213597</v>
      </c>
      <c r="Y108" s="401">
        <f t="shared" si="114"/>
        <v>0.10538371802213597</v>
      </c>
      <c r="Z108" s="401">
        <f t="shared" si="114"/>
        <v>0.10538371802213597</v>
      </c>
      <c r="AA108" s="401">
        <f t="shared" si="114"/>
        <v>0.10538371802213597</v>
      </c>
      <c r="AB108" s="401">
        <f t="shared" si="114"/>
        <v>0.10538371802213597</v>
      </c>
      <c r="AC108" s="401">
        <f t="shared" si="114"/>
        <v>0.10538371802213597</v>
      </c>
      <c r="AD108" s="401">
        <f t="shared" si="114"/>
        <v>0.10538371802213597</v>
      </c>
      <c r="AE108" s="401">
        <f>AD108</f>
        <v>0.10538371802213597</v>
      </c>
    </row>
    <row r="109" spans="1:33" ht="45">
      <c r="A109" s="125" t="s">
        <v>270</v>
      </c>
      <c r="B109" s="310" t="s">
        <v>271</v>
      </c>
      <c r="C109" s="387" t="s">
        <v>250</v>
      </c>
      <c r="D109" s="337">
        <f t="shared" ref="D109:I109" si="115">D51</f>
        <v>17376.759452999999</v>
      </c>
      <c r="E109" s="337">
        <f t="shared" si="115"/>
        <v>17684.364000000001</v>
      </c>
      <c r="F109" s="322">
        <f t="shared" si="88"/>
        <v>307.60454700000264</v>
      </c>
      <c r="G109" s="314">
        <f t="shared" si="89"/>
        <v>1.0177020662472769</v>
      </c>
      <c r="H109" s="393"/>
      <c r="I109" s="352">
        <f t="shared" si="115"/>
        <v>17376.759452999999</v>
      </c>
      <c r="J109" s="352"/>
      <c r="K109" s="352"/>
      <c r="L109" s="352"/>
      <c r="M109" s="393" t="s">
        <v>290</v>
      </c>
      <c r="N109" s="352">
        <f t="shared" ref="N109:P109" si="116">N51</f>
        <v>17376.759452999999</v>
      </c>
      <c r="O109" s="352">
        <f t="shared" si="116"/>
        <v>17376.759452999999</v>
      </c>
      <c r="P109" s="352">
        <f t="shared" si="116"/>
        <v>17376.759452999999</v>
      </c>
      <c r="Q109" s="352">
        <v>18352.93</v>
      </c>
      <c r="R109" s="352">
        <v>18352.93</v>
      </c>
      <c r="S109" s="352">
        <v>18352.93</v>
      </c>
      <c r="T109" s="352">
        <v>18352.93</v>
      </c>
      <c r="U109" s="352">
        <v>18352.93</v>
      </c>
      <c r="V109" s="352">
        <v>18352.93</v>
      </c>
      <c r="W109" s="352">
        <v>18352.93</v>
      </c>
      <c r="X109" s="352">
        <v>18352.93</v>
      </c>
      <c r="Y109" s="352">
        <v>18352.93</v>
      </c>
      <c r="Z109" s="352">
        <v>18352.93</v>
      </c>
      <c r="AA109" s="352">
        <v>18352.93</v>
      </c>
      <c r="AB109" s="352">
        <v>18352.93</v>
      </c>
      <c r="AC109" s="352">
        <v>18352.93</v>
      </c>
      <c r="AD109" s="352">
        <v>18352.93</v>
      </c>
      <c r="AE109" s="352">
        <v>18352.93</v>
      </c>
      <c r="AG109" s="2" t="s">
        <v>285</v>
      </c>
    </row>
    <row r="110" spans="1:33" ht="30">
      <c r="A110" s="125" t="s">
        <v>272</v>
      </c>
      <c r="B110" s="310" t="s">
        <v>252</v>
      </c>
      <c r="C110" s="341" t="s">
        <v>253</v>
      </c>
      <c r="D110" s="337" t="e">
        <f>'Прил 3(5)'!#REF!</f>
        <v>#REF!</v>
      </c>
      <c r="E110" s="337" t="e">
        <f>'Прил 3(5)'!#REF!</f>
        <v>#REF!</v>
      </c>
      <c r="F110" s="322" t="e">
        <f t="shared" si="88"/>
        <v>#REF!</v>
      </c>
      <c r="G110" s="314" t="e">
        <f t="shared" si="89"/>
        <v>#REF!</v>
      </c>
      <c r="H110" s="395"/>
      <c r="I110" s="352">
        <v>2258.9787288900002</v>
      </c>
      <c r="J110" s="352"/>
      <c r="K110" s="352"/>
      <c r="L110" s="352"/>
      <c r="M110" s="395" t="s">
        <v>311</v>
      </c>
      <c r="N110" s="352">
        <v>2258.9787288900002</v>
      </c>
      <c r="O110" s="352">
        <v>2258.9787288900002</v>
      </c>
      <c r="P110" s="352">
        <v>2258.9787288900002</v>
      </c>
      <c r="Q110" s="352">
        <v>1934.1</v>
      </c>
      <c r="R110" s="352">
        <v>1934.1</v>
      </c>
      <c r="S110" s="352">
        <v>1934.1</v>
      </c>
      <c r="T110" s="352">
        <v>1934.1</v>
      </c>
      <c r="U110" s="352">
        <v>1934.1</v>
      </c>
      <c r="V110" s="352">
        <v>1934.1</v>
      </c>
      <c r="W110" s="352">
        <v>1934.1</v>
      </c>
      <c r="X110" s="352">
        <v>1934.1</v>
      </c>
      <c r="Y110" s="352">
        <v>1934.1</v>
      </c>
      <c r="Z110" s="352">
        <v>1934.1</v>
      </c>
      <c r="AA110" s="352">
        <v>1934.1</v>
      </c>
      <c r="AB110" s="352">
        <v>1934.1</v>
      </c>
      <c r="AC110" s="352">
        <v>1934.1</v>
      </c>
      <c r="AD110" s="352">
        <v>1934.1</v>
      </c>
      <c r="AE110" s="352">
        <v>1934.1</v>
      </c>
      <c r="AG110" s="2" t="s">
        <v>305</v>
      </c>
    </row>
    <row r="112" spans="1:33">
      <c r="B112" s="2" t="s">
        <v>312</v>
      </c>
      <c r="M112" s="2" t="s">
        <v>313</v>
      </c>
    </row>
  </sheetData>
  <mergeCells count="23">
    <mergeCell ref="V1:AD1"/>
    <mergeCell ref="A2:M2"/>
    <mergeCell ref="A3:AE3"/>
    <mergeCell ref="A9:AD9"/>
    <mergeCell ref="A58:AE58"/>
    <mergeCell ref="I4:M5"/>
    <mergeCell ref="N4:AE5"/>
    <mergeCell ref="A70:AE70"/>
    <mergeCell ref="A93:AE93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D4:H5"/>
  </mergeCells>
  <pageMargins left="0.59027777777777801" right="0.59027777777777801" top="0.59027777777777801" bottom="0.59027777777777801" header="0.51041666666666696" footer="0.51041666666666696"/>
  <pageSetup paperSize="8" scale="60" firstPageNumber="0" orientation="landscape" useFirstPageNumber="1" horizontalDpi="300" verticalDpi="300" r:id="rId1"/>
  <rowBreaks count="1" manualBreakCount="1">
    <brk id="114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3"/>
  <sheetViews>
    <sheetView view="pageBreakPreview" zoomScaleNormal="100" zoomScaleSheetLayoutView="100" workbookViewId="0">
      <selection activeCell="U14" sqref="U14"/>
    </sheetView>
  </sheetViews>
  <sheetFormatPr defaultColWidth="9" defaultRowHeight="15" outlineLevelRow="1" outlineLevelCol="1"/>
  <cols>
    <col min="1" max="1" width="9.7109375" style="106" customWidth="1"/>
    <col min="2" max="2" width="34.42578125" style="107" customWidth="1"/>
    <col min="3" max="3" width="12.140625" style="97" customWidth="1"/>
    <col min="4" max="4" width="15.7109375" style="97" hidden="1" customWidth="1"/>
    <col min="5" max="6" width="13.140625" style="97" hidden="1" customWidth="1" outlineLevel="1"/>
    <col min="7" max="7" width="13.140625" style="97" hidden="1" customWidth="1" collapsed="1"/>
    <col min="8" max="8" width="13.140625" style="97" hidden="1" customWidth="1"/>
    <col min="9" max="10" width="13.140625" style="97" hidden="1" customWidth="1" outlineLevel="1"/>
    <col min="11" max="11" width="12" style="97" hidden="1" customWidth="1" collapsed="1"/>
    <col min="12" max="12" width="16.7109375" style="97" hidden="1" customWidth="1"/>
    <col min="13" max="14" width="13.140625" style="97" hidden="1" customWidth="1" outlineLevel="1"/>
    <col min="15" max="15" width="15.7109375" style="97" hidden="1" customWidth="1" collapsed="1"/>
    <col min="16" max="16" width="15.5703125" style="97" hidden="1" customWidth="1"/>
    <col min="17" max="17" width="16.7109375" style="97" customWidth="1"/>
    <col min="18" max="18" width="12" style="97" hidden="1" customWidth="1" outlineLevel="1"/>
    <col min="19" max="19" width="13.140625" style="97" hidden="1" customWidth="1" outlineLevel="1"/>
    <col min="20" max="20" width="15.5703125" style="97" customWidth="1" outlineLevel="1"/>
    <col min="21" max="21" width="18.85546875" style="97" customWidth="1" outlineLevel="1"/>
    <col min="22" max="22" width="16.28515625" style="97" hidden="1" customWidth="1"/>
    <col min="23" max="24" width="13.140625" style="97" hidden="1" customWidth="1" outlineLevel="1"/>
    <col min="25" max="25" width="13.140625" style="97" hidden="1" customWidth="1" collapsed="1"/>
    <col min="26" max="27" width="13.140625" style="97" hidden="1" customWidth="1" outlineLevel="1"/>
    <col min="28" max="28" width="13.140625" style="97" hidden="1" customWidth="1" collapsed="1"/>
    <col min="29" max="30" width="13.140625" style="97" hidden="1" customWidth="1" outlineLevel="1"/>
    <col min="31" max="31" width="13.140625" style="97" hidden="1" customWidth="1" collapsed="1"/>
    <col min="32" max="33" width="13.140625" style="97" hidden="1" customWidth="1" outlineLevel="1"/>
    <col min="34" max="34" width="14.7109375" style="97" hidden="1" customWidth="1" collapsed="1"/>
    <col min="35" max="36" width="13.140625" style="97" hidden="1" customWidth="1" outlineLevel="1"/>
    <col min="37" max="37" width="14.7109375" style="97" hidden="1" customWidth="1" collapsed="1"/>
    <col min="38" max="39" width="13.140625" style="97" hidden="1" customWidth="1" outlineLevel="1"/>
    <col min="40" max="40" width="14.7109375" style="97" hidden="1" customWidth="1" collapsed="1"/>
    <col min="41" max="42" width="13.140625" style="97" hidden="1" customWidth="1" outlineLevel="1"/>
    <col min="43" max="43" width="14.7109375" style="97" hidden="1" customWidth="1" collapsed="1"/>
    <col min="44" max="45" width="13.140625" style="97" hidden="1" customWidth="1" outlineLevel="1"/>
    <col min="46" max="46" width="14.7109375" style="97" hidden="1" customWidth="1" collapsed="1"/>
    <col min="47" max="48" width="13.140625" style="97" hidden="1" customWidth="1" outlineLevel="1"/>
    <col min="49" max="49" width="14.7109375" style="97" hidden="1" customWidth="1" collapsed="1"/>
    <col min="50" max="51" width="13.140625" style="97" hidden="1" customWidth="1" outlineLevel="1"/>
    <col min="52" max="52" width="14.7109375" style="97" hidden="1" customWidth="1" collapsed="1"/>
    <col min="53" max="54" width="13.140625" style="97" hidden="1" customWidth="1" outlineLevel="1"/>
    <col min="55" max="55" width="14.7109375" style="97" hidden="1" customWidth="1" collapsed="1"/>
    <col min="56" max="57" width="13.140625" style="97" hidden="1" customWidth="1" outlineLevel="1"/>
    <col min="58" max="58" width="14.7109375" style="97" hidden="1" customWidth="1" collapsed="1"/>
    <col min="59" max="60" width="13.140625" style="97" hidden="1" customWidth="1" outlineLevel="1"/>
    <col min="61" max="61" width="14.7109375" style="97" hidden="1" customWidth="1" collapsed="1"/>
    <col min="62" max="63" width="13.140625" style="97" hidden="1" customWidth="1" outlineLevel="1"/>
    <col min="64" max="64" width="14.7109375" style="97" hidden="1" customWidth="1" collapsed="1"/>
    <col min="65" max="66" width="13.140625" style="97" hidden="1" customWidth="1" outlineLevel="1"/>
    <col min="67" max="67" width="15.7109375" style="97" hidden="1" customWidth="1" collapsed="1"/>
    <col min="68" max="69" width="13.140625" style="97" hidden="1" customWidth="1" outlineLevel="1"/>
    <col min="70" max="70" width="15.7109375" style="97" hidden="1" customWidth="1" collapsed="1"/>
    <col min="71" max="71" width="13.140625" style="97" hidden="1" customWidth="1" outlineLevel="1"/>
    <col min="72" max="72" width="14.7109375" style="97" hidden="1" customWidth="1" outlineLevel="1"/>
    <col min="73" max="73" width="15.7109375" style="97" hidden="1" customWidth="1" collapsed="1"/>
    <col min="74" max="74" width="13.140625" style="97" hidden="1" customWidth="1" outlineLevel="1"/>
    <col min="75" max="75" width="14.7109375" style="97" hidden="1" customWidth="1" outlineLevel="1"/>
    <col min="76" max="76" width="13.140625" style="97" hidden="1" customWidth="1" collapsed="1"/>
    <col min="77" max="78" width="12" style="97" hidden="1" customWidth="1" outlineLevel="1"/>
    <col min="79" max="79" width="13.140625" style="97" hidden="1" customWidth="1" collapsed="1"/>
    <col min="80" max="80" width="13.140625" style="97" hidden="1" customWidth="1"/>
    <col min="81" max="81" width="12" style="97" hidden="1" customWidth="1" outlineLevel="1"/>
    <col min="82" max="82" width="13.140625" style="97" hidden="1" customWidth="1" outlineLevel="1"/>
    <col min="83" max="83" width="12" style="97" hidden="1" customWidth="1" collapsed="1"/>
    <col min="84" max="84" width="16.7109375" style="97" hidden="1" customWidth="1"/>
    <col min="85" max="85" width="12" style="97" hidden="1" customWidth="1" outlineLevel="1"/>
    <col min="86" max="86" width="13.140625" style="97" hidden="1" customWidth="1" outlineLevel="1"/>
    <col min="87" max="87" width="15.5703125" style="97" hidden="1" customWidth="1" collapsed="1"/>
    <col min="88" max="88" width="18.85546875" style="97" hidden="1" customWidth="1"/>
    <col min="89" max="89" width="16.7109375" style="97" customWidth="1"/>
    <col min="90" max="90" width="12" style="97" hidden="1" customWidth="1" outlineLevel="1"/>
    <col min="91" max="91" width="13.140625" style="97" hidden="1" customWidth="1" outlineLevel="1"/>
    <col min="92" max="92" width="15.5703125" style="97" customWidth="1" outlineLevel="1"/>
    <col min="93" max="93" width="18.85546875" style="97" customWidth="1" outlineLevel="1"/>
    <col min="94" max="94" width="13.140625" style="97" hidden="1" customWidth="1"/>
    <col min="95" max="96" width="13.140625" style="97" hidden="1" customWidth="1" outlineLevel="1"/>
    <col min="97" max="97" width="13.140625" style="97" hidden="1" customWidth="1" collapsed="1"/>
    <col min="98" max="99" width="13.140625" style="97" hidden="1" customWidth="1" outlineLevel="1"/>
    <col min="100" max="100" width="13.140625" style="97" hidden="1" customWidth="1" collapsed="1"/>
    <col min="101" max="102" width="13.140625" style="97" hidden="1" customWidth="1" outlineLevel="1"/>
    <col min="103" max="103" width="13.140625" style="97" hidden="1" customWidth="1" collapsed="1"/>
    <col min="104" max="105" width="13.140625" style="97" hidden="1" customWidth="1" outlineLevel="1"/>
    <col min="106" max="106" width="13.140625" style="97" hidden="1" customWidth="1" collapsed="1"/>
    <col min="107" max="108" width="13.140625" style="97" hidden="1" customWidth="1" outlineLevel="1"/>
    <col min="109" max="109" width="13.140625" style="97" hidden="1" customWidth="1" collapsed="1"/>
    <col min="110" max="111" width="13.140625" style="97" hidden="1" customWidth="1" outlineLevel="1"/>
    <col min="112" max="112" width="13.140625" style="97" hidden="1" customWidth="1" collapsed="1"/>
    <col min="113" max="114" width="13.140625" style="97" hidden="1" customWidth="1" outlineLevel="1"/>
    <col min="115" max="115" width="13.140625" style="97" hidden="1" customWidth="1" collapsed="1"/>
    <col min="116" max="117" width="13.140625" style="97" hidden="1" customWidth="1" outlineLevel="1"/>
    <col min="118" max="118" width="13.140625" style="97" hidden="1" customWidth="1" collapsed="1"/>
    <col min="119" max="120" width="13.140625" style="97" hidden="1" customWidth="1" outlineLevel="1"/>
    <col min="121" max="121" width="13.140625" style="97" hidden="1" customWidth="1" collapsed="1"/>
    <col min="122" max="123" width="13.140625" style="97" hidden="1" customWidth="1" outlineLevel="1"/>
    <col min="124" max="124" width="13.140625" style="97" hidden="1" customWidth="1" collapsed="1"/>
    <col min="125" max="126" width="13.140625" style="97" hidden="1" customWidth="1" outlineLevel="1"/>
    <col min="127" max="127" width="13.140625" style="97" hidden="1" customWidth="1" collapsed="1"/>
    <col min="128" max="129" width="13.140625" style="97" hidden="1" customWidth="1" outlineLevel="1"/>
    <col min="130" max="130" width="13.140625" style="97" hidden="1" customWidth="1" collapsed="1"/>
    <col min="131" max="132" width="13.140625" style="97" hidden="1" customWidth="1" outlineLevel="1"/>
    <col min="133" max="133" width="13.140625" style="97" hidden="1" customWidth="1" collapsed="1"/>
    <col min="134" max="135" width="13.140625" style="97" hidden="1" customWidth="1" outlineLevel="1"/>
    <col min="136" max="136" width="13.140625" style="97" hidden="1" customWidth="1" collapsed="1"/>
    <col min="137" max="138" width="13.140625" style="97" hidden="1" customWidth="1" outlineLevel="1"/>
    <col min="139" max="139" width="13.140625" style="97" hidden="1" customWidth="1" collapsed="1"/>
    <col min="140" max="141" width="13.140625" style="97" hidden="1" customWidth="1" outlineLevel="1"/>
    <col min="142" max="142" width="13.140625" style="97" hidden="1" customWidth="1" collapsed="1"/>
    <col min="143" max="144" width="13.140625" style="97" hidden="1" customWidth="1" outlineLevel="1"/>
    <col min="145" max="145" width="13.140625" style="97" hidden="1" customWidth="1" collapsed="1"/>
    <col min="146" max="147" width="13.140625" style="97" hidden="1" customWidth="1" outlineLevel="1"/>
    <col min="148" max="148" width="9.28515625" style="97" customWidth="1" collapsed="1"/>
    <col min="149" max="149" width="22.5703125" style="97" customWidth="1"/>
    <col min="150" max="1025" width="0.85546875" style="97" customWidth="1"/>
  </cols>
  <sheetData>
    <row r="1" spans="1:149" ht="18.75" customHeight="1" outlineLevel="1">
      <c r="L1" s="144"/>
      <c r="W1" s="603" t="s">
        <v>318</v>
      </c>
      <c r="X1" s="603"/>
      <c r="Y1" s="603"/>
      <c r="Z1" s="603"/>
      <c r="AA1" s="603"/>
      <c r="AB1" s="603"/>
      <c r="AC1" s="603"/>
      <c r="CF1" s="144"/>
    </row>
    <row r="2" spans="1:149" ht="23.25" outlineLevel="1">
      <c r="L2" s="604" t="s">
        <v>319</v>
      </c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  <c r="AS2" s="604"/>
      <c r="AT2" s="604"/>
      <c r="AU2" s="604"/>
      <c r="AV2" s="604"/>
      <c r="AW2" s="604"/>
      <c r="AX2" s="604"/>
      <c r="AY2" s="604"/>
      <c r="AZ2" s="604"/>
      <c r="BA2" s="604"/>
      <c r="BB2" s="604"/>
      <c r="BC2" s="604"/>
      <c r="BD2" s="604"/>
      <c r="BE2" s="604"/>
      <c r="BF2" s="604"/>
      <c r="BG2" s="604"/>
      <c r="BH2" s="604"/>
      <c r="BI2" s="604"/>
      <c r="BJ2" s="604"/>
      <c r="BK2" s="604"/>
      <c r="BL2" s="604"/>
      <c r="BM2" s="604"/>
      <c r="BN2" s="604"/>
      <c r="BO2" s="604"/>
      <c r="BP2" s="604"/>
      <c r="BQ2" s="604"/>
      <c r="BR2" s="604"/>
      <c r="BS2" s="604"/>
      <c r="BT2" s="604"/>
      <c r="BU2" s="604"/>
      <c r="BV2" s="604"/>
      <c r="BW2" s="604"/>
      <c r="BX2" s="604"/>
      <c r="BY2" s="604"/>
      <c r="BZ2" s="604"/>
      <c r="CA2" s="604"/>
      <c r="CB2" s="604"/>
      <c r="CC2" s="604"/>
      <c r="CD2" s="604"/>
      <c r="CE2" s="604"/>
      <c r="CF2" s="604"/>
      <c r="CG2" s="604"/>
      <c r="CH2" s="604"/>
      <c r="CI2" s="604"/>
      <c r="CJ2" s="604"/>
      <c r="CK2" s="604"/>
      <c r="CL2" s="604"/>
      <c r="CM2" s="604"/>
      <c r="CN2" s="604"/>
      <c r="CO2" s="604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</row>
    <row r="3" spans="1:149" ht="51.75" customHeight="1">
      <c r="A3" s="605" t="s">
        <v>320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5"/>
      <c r="CF3" s="605"/>
      <c r="CG3" s="605"/>
      <c r="CH3" s="605"/>
      <c r="CI3" s="605"/>
      <c r="CJ3" s="605"/>
      <c r="CK3" s="605"/>
      <c r="CL3" s="605"/>
      <c r="CM3" s="605"/>
      <c r="CN3" s="605"/>
      <c r="CO3" s="605"/>
    </row>
    <row r="4" spans="1:149" ht="15" customHeight="1">
      <c r="A4" s="601" t="s">
        <v>1</v>
      </c>
      <c r="B4" s="598" t="s">
        <v>321</v>
      </c>
      <c r="C4" s="598" t="s">
        <v>322</v>
      </c>
      <c r="D4" s="606" t="s">
        <v>314</v>
      </c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606"/>
      <c r="BJ4" s="606"/>
      <c r="BK4" s="606"/>
      <c r="BL4" s="606"/>
      <c r="BM4" s="606"/>
      <c r="BN4" s="606"/>
      <c r="BO4" s="606"/>
      <c r="BP4" s="606"/>
      <c r="BQ4" s="606"/>
      <c r="BR4" s="606"/>
      <c r="BS4" s="606"/>
      <c r="BT4" s="606"/>
      <c r="BU4" s="606"/>
      <c r="BV4" s="606"/>
      <c r="BW4" s="606"/>
      <c r="BX4" s="606" t="s">
        <v>317</v>
      </c>
      <c r="BY4" s="606"/>
      <c r="BZ4" s="606"/>
      <c r="CA4" s="606"/>
      <c r="CB4" s="606"/>
      <c r="CC4" s="606"/>
      <c r="CD4" s="606"/>
      <c r="CE4" s="606"/>
      <c r="CF4" s="606"/>
      <c r="CG4" s="606"/>
      <c r="CH4" s="606"/>
      <c r="CI4" s="606"/>
      <c r="CJ4" s="606"/>
      <c r="CK4" s="606"/>
      <c r="CL4" s="606"/>
      <c r="CM4" s="606"/>
      <c r="CN4" s="606"/>
      <c r="CO4" s="606"/>
      <c r="CP4" s="606"/>
      <c r="CQ4" s="606"/>
      <c r="CR4" s="606"/>
      <c r="CS4" s="606"/>
      <c r="CT4" s="606"/>
      <c r="CU4" s="606"/>
      <c r="CV4" s="606"/>
      <c r="CW4" s="606"/>
      <c r="CX4" s="606"/>
      <c r="CY4" s="606"/>
      <c r="CZ4" s="606"/>
      <c r="DA4" s="606"/>
      <c r="DB4" s="606"/>
      <c r="DC4" s="606"/>
      <c r="DD4" s="606"/>
      <c r="DE4" s="606"/>
      <c r="DF4" s="606"/>
      <c r="DG4" s="606"/>
      <c r="DH4" s="606"/>
      <c r="DI4" s="606"/>
      <c r="DJ4" s="606"/>
      <c r="DK4" s="606"/>
      <c r="DL4" s="606"/>
      <c r="DM4" s="606"/>
      <c r="DN4" s="606"/>
      <c r="DO4" s="606"/>
      <c r="DP4" s="606"/>
      <c r="DQ4" s="606"/>
      <c r="DR4" s="606"/>
      <c r="DS4" s="606"/>
      <c r="DT4" s="606"/>
      <c r="DU4" s="606"/>
      <c r="DV4" s="606"/>
      <c r="DW4" s="606"/>
      <c r="DX4" s="606"/>
      <c r="DY4" s="606"/>
      <c r="DZ4" s="606"/>
      <c r="EA4" s="606"/>
      <c r="EB4" s="606"/>
      <c r="EC4" s="606"/>
      <c r="ED4" s="606"/>
      <c r="EE4" s="606"/>
      <c r="EF4" s="606"/>
      <c r="EG4" s="606"/>
      <c r="EH4" s="606"/>
      <c r="EI4" s="606"/>
      <c r="EJ4" s="606"/>
      <c r="EK4" s="606"/>
      <c r="EL4" s="606"/>
      <c r="EM4" s="606"/>
      <c r="EN4" s="606"/>
      <c r="EO4" s="606"/>
      <c r="EP4" s="606"/>
      <c r="EQ4" s="606"/>
    </row>
    <row r="5" spans="1:149" s="98" customFormat="1" ht="28.5" customHeight="1">
      <c r="A5" s="601"/>
      <c r="B5" s="598"/>
      <c r="C5" s="598"/>
      <c r="D5" s="598" t="s">
        <v>323</v>
      </c>
      <c r="E5" s="598"/>
      <c r="F5" s="598"/>
      <c r="G5" s="598"/>
      <c r="H5" s="598" t="s">
        <v>324</v>
      </c>
      <c r="I5" s="598"/>
      <c r="J5" s="598"/>
      <c r="K5" s="598"/>
      <c r="L5" s="598" t="s">
        <v>276</v>
      </c>
      <c r="M5" s="598"/>
      <c r="N5" s="598"/>
      <c r="O5" s="598"/>
      <c r="P5" s="598"/>
      <c r="Q5" s="598" t="s">
        <v>277</v>
      </c>
      <c r="R5" s="598"/>
      <c r="S5" s="598"/>
      <c r="T5" s="598"/>
      <c r="U5" s="598"/>
      <c r="V5" s="598" t="s">
        <v>325</v>
      </c>
      <c r="W5" s="598"/>
      <c r="X5" s="598"/>
      <c r="Y5" s="598" t="s">
        <v>326</v>
      </c>
      <c r="Z5" s="598"/>
      <c r="AA5" s="598"/>
      <c r="AB5" s="598" t="s">
        <v>327</v>
      </c>
      <c r="AC5" s="598"/>
      <c r="AD5" s="598"/>
      <c r="AE5" s="598" t="s">
        <v>328</v>
      </c>
      <c r="AF5" s="598"/>
      <c r="AG5" s="598"/>
      <c r="AH5" s="598" t="s">
        <v>329</v>
      </c>
      <c r="AI5" s="598"/>
      <c r="AJ5" s="598"/>
      <c r="AK5" s="598" t="s">
        <v>330</v>
      </c>
      <c r="AL5" s="598"/>
      <c r="AM5" s="598"/>
      <c r="AN5" s="598" t="s">
        <v>331</v>
      </c>
      <c r="AO5" s="598"/>
      <c r="AP5" s="598"/>
      <c r="AQ5" s="598" t="s">
        <v>332</v>
      </c>
      <c r="AR5" s="598"/>
      <c r="AS5" s="598"/>
      <c r="AT5" s="598" t="s">
        <v>333</v>
      </c>
      <c r="AU5" s="598"/>
      <c r="AV5" s="598"/>
      <c r="AW5" s="598" t="s">
        <v>334</v>
      </c>
      <c r="AX5" s="598"/>
      <c r="AY5" s="598"/>
      <c r="AZ5" s="598" t="s">
        <v>335</v>
      </c>
      <c r="BA5" s="598"/>
      <c r="BB5" s="598"/>
      <c r="BC5" s="598" t="s">
        <v>336</v>
      </c>
      <c r="BD5" s="598"/>
      <c r="BE5" s="598"/>
      <c r="BF5" s="598" t="s">
        <v>337</v>
      </c>
      <c r="BG5" s="598"/>
      <c r="BH5" s="598"/>
      <c r="BI5" s="598" t="s">
        <v>338</v>
      </c>
      <c r="BJ5" s="598"/>
      <c r="BK5" s="598"/>
      <c r="BL5" s="598" t="s">
        <v>339</v>
      </c>
      <c r="BM5" s="598"/>
      <c r="BN5" s="598"/>
      <c r="BO5" s="598" t="s">
        <v>340</v>
      </c>
      <c r="BP5" s="598"/>
      <c r="BQ5" s="598"/>
      <c r="BR5" s="598" t="s">
        <v>341</v>
      </c>
      <c r="BS5" s="598"/>
      <c r="BT5" s="598"/>
      <c r="BU5" s="598" t="s">
        <v>342</v>
      </c>
      <c r="BV5" s="598"/>
      <c r="BW5" s="598"/>
      <c r="BX5" s="598" t="s">
        <v>323</v>
      </c>
      <c r="BY5" s="598"/>
      <c r="BZ5" s="598"/>
      <c r="CA5" s="598"/>
      <c r="CB5" s="598" t="s">
        <v>324</v>
      </c>
      <c r="CC5" s="598"/>
      <c r="CD5" s="598"/>
      <c r="CE5" s="598"/>
      <c r="CF5" s="598" t="s">
        <v>276</v>
      </c>
      <c r="CG5" s="598"/>
      <c r="CH5" s="598"/>
      <c r="CI5" s="598"/>
      <c r="CJ5" s="598"/>
      <c r="CK5" s="598" t="s">
        <v>277</v>
      </c>
      <c r="CL5" s="598"/>
      <c r="CM5" s="598"/>
      <c r="CN5" s="598"/>
      <c r="CO5" s="598"/>
      <c r="CP5" s="598" t="s">
        <v>325</v>
      </c>
      <c r="CQ5" s="598"/>
      <c r="CR5" s="598"/>
      <c r="CS5" s="598" t="s">
        <v>326</v>
      </c>
      <c r="CT5" s="598"/>
      <c r="CU5" s="598"/>
      <c r="CV5" s="598" t="s">
        <v>327</v>
      </c>
      <c r="CW5" s="598"/>
      <c r="CX5" s="598"/>
      <c r="CY5" s="598" t="s">
        <v>328</v>
      </c>
      <c r="CZ5" s="598"/>
      <c r="DA5" s="598"/>
      <c r="DB5" s="598" t="s">
        <v>329</v>
      </c>
      <c r="DC5" s="598"/>
      <c r="DD5" s="598"/>
      <c r="DE5" s="598" t="s">
        <v>330</v>
      </c>
      <c r="DF5" s="598"/>
      <c r="DG5" s="598"/>
      <c r="DH5" s="598" t="s">
        <v>331</v>
      </c>
      <c r="DI5" s="598"/>
      <c r="DJ5" s="598"/>
      <c r="DK5" s="598" t="s">
        <v>332</v>
      </c>
      <c r="DL5" s="598"/>
      <c r="DM5" s="598"/>
      <c r="DN5" s="598" t="s">
        <v>333</v>
      </c>
      <c r="DO5" s="598"/>
      <c r="DP5" s="598"/>
      <c r="DQ5" s="598" t="s">
        <v>334</v>
      </c>
      <c r="DR5" s="598"/>
      <c r="DS5" s="598"/>
      <c r="DT5" s="598" t="s">
        <v>335</v>
      </c>
      <c r="DU5" s="598"/>
      <c r="DV5" s="598"/>
      <c r="DW5" s="598" t="s">
        <v>336</v>
      </c>
      <c r="DX5" s="598"/>
      <c r="DY5" s="598"/>
      <c r="DZ5" s="598" t="s">
        <v>337</v>
      </c>
      <c r="EA5" s="598"/>
      <c r="EB5" s="598"/>
      <c r="EC5" s="598" t="s">
        <v>338</v>
      </c>
      <c r="ED5" s="598"/>
      <c r="EE5" s="598"/>
      <c r="EF5" s="598" t="s">
        <v>339</v>
      </c>
      <c r="EG5" s="598"/>
      <c r="EH5" s="598"/>
      <c r="EI5" s="598" t="s">
        <v>340</v>
      </c>
      <c r="EJ5" s="598"/>
      <c r="EK5" s="598"/>
      <c r="EL5" s="598" t="s">
        <v>341</v>
      </c>
      <c r="EM5" s="598"/>
      <c r="EN5" s="598"/>
      <c r="EO5" s="598" t="s">
        <v>342</v>
      </c>
      <c r="EP5" s="598"/>
      <c r="EQ5" s="598"/>
      <c r="ER5" s="164" t="s">
        <v>73</v>
      </c>
      <c r="ES5" s="98" t="s">
        <v>282</v>
      </c>
    </row>
    <row r="6" spans="1:149" s="98" customFormat="1" ht="28.5" customHeight="1">
      <c r="A6" s="601"/>
      <c r="B6" s="598"/>
      <c r="C6" s="598"/>
      <c r="D6" s="151" t="s">
        <v>343</v>
      </c>
      <c r="E6" s="151" t="s">
        <v>344</v>
      </c>
      <c r="F6" s="151" t="s">
        <v>345</v>
      </c>
      <c r="G6" s="151" t="s">
        <v>7</v>
      </c>
      <c r="H6" s="151" t="s">
        <v>343</v>
      </c>
      <c r="I6" s="151" t="s">
        <v>344</v>
      </c>
      <c r="J6" s="151" t="s">
        <v>345</v>
      </c>
      <c r="K6" s="151" t="s">
        <v>346</v>
      </c>
      <c r="L6" s="115" t="s">
        <v>8</v>
      </c>
      <c r="M6" s="115" t="s">
        <v>344</v>
      </c>
      <c r="N6" s="115" t="s">
        <v>345</v>
      </c>
      <c r="O6" s="115" t="s">
        <v>7</v>
      </c>
      <c r="P6" s="115" t="s">
        <v>279</v>
      </c>
      <c r="Q6" s="115" t="s">
        <v>8</v>
      </c>
      <c r="R6" s="115" t="s">
        <v>344</v>
      </c>
      <c r="S6" s="115" t="s">
        <v>345</v>
      </c>
      <c r="T6" s="115" t="s">
        <v>7</v>
      </c>
      <c r="U6" s="115" t="s">
        <v>279</v>
      </c>
      <c r="V6" s="115" t="s">
        <v>347</v>
      </c>
      <c r="W6" s="115" t="s">
        <v>344</v>
      </c>
      <c r="X6" s="115" t="s">
        <v>345</v>
      </c>
      <c r="Y6" s="115" t="s">
        <v>347</v>
      </c>
      <c r="Z6" s="115" t="s">
        <v>344</v>
      </c>
      <c r="AA6" s="115" t="s">
        <v>345</v>
      </c>
      <c r="AB6" s="115" t="s">
        <v>347</v>
      </c>
      <c r="AC6" s="115" t="s">
        <v>344</v>
      </c>
      <c r="AD6" s="115" t="s">
        <v>345</v>
      </c>
      <c r="AE6" s="115" t="s">
        <v>347</v>
      </c>
      <c r="AF6" s="115" t="s">
        <v>344</v>
      </c>
      <c r="AG6" s="115" t="s">
        <v>345</v>
      </c>
      <c r="AH6" s="115" t="s">
        <v>347</v>
      </c>
      <c r="AI6" s="115" t="s">
        <v>344</v>
      </c>
      <c r="AJ6" s="115" t="s">
        <v>345</v>
      </c>
      <c r="AK6" s="115" t="s">
        <v>347</v>
      </c>
      <c r="AL6" s="115" t="s">
        <v>344</v>
      </c>
      <c r="AM6" s="115" t="s">
        <v>345</v>
      </c>
      <c r="AN6" s="115" t="s">
        <v>347</v>
      </c>
      <c r="AO6" s="115" t="s">
        <v>344</v>
      </c>
      <c r="AP6" s="115" t="s">
        <v>345</v>
      </c>
      <c r="AQ6" s="115" t="s">
        <v>347</v>
      </c>
      <c r="AR6" s="115" t="s">
        <v>344</v>
      </c>
      <c r="AS6" s="115" t="s">
        <v>345</v>
      </c>
      <c r="AT6" s="115" t="s">
        <v>347</v>
      </c>
      <c r="AU6" s="115" t="s">
        <v>344</v>
      </c>
      <c r="AV6" s="115" t="s">
        <v>345</v>
      </c>
      <c r="AW6" s="115" t="s">
        <v>347</v>
      </c>
      <c r="AX6" s="115" t="s">
        <v>344</v>
      </c>
      <c r="AY6" s="115" t="s">
        <v>345</v>
      </c>
      <c r="AZ6" s="115" t="s">
        <v>347</v>
      </c>
      <c r="BA6" s="115" t="s">
        <v>344</v>
      </c>
      <c r="BB6" s="115" t="s">
        <v>345</v>
      </c>
      <c r="BC6" s="115" t="s">
        <v>347</v>
      </c>
      <c r="BD6" s="115" t="s">
        <v>344</v>
      </c>
      <c r="BE6" s="115" t="s">
        <v>345</v>
      </c>
      <c r="BF6" s="115" t="s">
        <v>347</v>
      </c>
      <c r="BG6" s="115" t="s">
        <v>344</v>
      </c>
      <c r="BH6" s="115" t="s">
        <v>345</v>
      </c>
      <c r="BI6" s="115" t="s">
        <v>347</v>
      </c>
      <c r="BJ6" s="115" t="s">
        <v>344</v>
      </c>
      <c r="BK6" s="115" t="s">
        <v>345</v>
      </c>
      <c r="BL6" s="115" t="s">
        <v>347</v>
      </c>
      <c r="BM6" s="115" t="s">
        <v>344</v>
      </c>
      <c r="BN6" s="115" t="s">
        <v>345</v>
      </c>
      <c r="BO6" s="115" t="s">
        <v>347</v>
      </c>
      <c r="BP6" s="115" t="s">
        <v>344</v>
      </c>
      <c r="BQ6" s="115" t="s">
        <v>345</v>
      </c>
      <c r="BR6" s="115" t="s">
        <v>347</v>
      </c>
      <c r="BS6" s="115" t="s">
        <v>344</v>
      </c>
      <c r="BT6" s="115" t="s">
        <v>345</v>
      </c>
      <c r="BU6" s="115" t="s">
        <v>347</v>
      </c>
      <c r="BV6" s="115" t="s">
        <v>344</v>
      </c>
      <c r="BW6" s="115" t="s">
        <v>345</v>
      </c>
      <c r="BX6" s="151" t="s">
        <v>343</v>
      </c>
      <c r="BY6" s="115" t="s">
        <v>344</v>
      </c>
      <c r="BZ6" s="115" t="s">
        <v>345</v>
      </c>
      <c r="CA6" s="151" t="s">
        <v>7</v>
      </c>
      <c r="CB6" s="151" t="s">
        <v>343</v>
      </c>
      <c r="CC6" s="115" t="s">
        <v>344</v>
      </c>
      <c r="CD6" s="115" t="s">
        <v>345</v>
      </c>
      <c r="CE6" s="151" t="s">
        <v>346</v>
      </c>
      <c r="CF6" s="115" t="s">
        <v>8</v>
      </c>
      <c r="CG6" s="115" t="s">
        <v>344</v>
      </c>
      <c r="CH6" s="115" t="s">
        <v>345</v>
      </c>
      <c r="CI6" s="115" t="s">
        <v>7</v>
      </c>
      <c r="CJ6" s="115" t="s">
        <v>279</v>
      </c>
      <c r="CK6" s="115" t="s">
        <v>8</v>
      </c>
      <c r="CL6" s="115" t="s">
        <v>344</v>
      </c>
      <c r="CM6" s="115" t="s">
        <v>345</v>
      </c>
      <c r="CN6" s="115" t="s">
        <v>7</v>
      </c>
      <c r="CO6" s="115" t="s">
        <v>279</v>
      </c>
      <c r="CP6" s="115" t="s">
        <v>347</v>
      </c>
      <c r="CQ6" s="115" t="s">
        <v>344</v>
      </c>
      <c r="CR6" s="115" t="s">
        <v>345</v>
      </c>
      <c r="CS6" s="115" t="s">
        <v>347</v>
      </c>
      <c r="CT6" s="115" t="s">
        <v>344</v>
      </c>
      <c r="CU6" s="115" t="s">
        <v>345</v>
      </c>
      <c r="CV6" s="115" t="s">
        <v>347</v>
      </c>
      <c r="CW6" s="115" t="s">
        <v>344</v>
      </c>
      <c r="CX6" s="115" t="s">
        <v>345</v>
      </c>
      <c r="CY6" s="115" t="s">
        <v>347</v>
      </c>
      <c r="CZ6" s="115" t="s">
        <v>344</v>
      </c>
      <c r="DA6" s="115" t="s">
        <v>345</v>
      </c>
      <c r="DB6" s="115" t="s">
        <v>347</v>
      </c>
      <c r="DC6" s="115" t="s">
        <v>344</v>
      </c>
      <c r="DD6" s="115" t="s">
        <v>345</v>
      </c>
      <c r="DE6" s="115" t="s">
        <v>347</v>
      </c>
      <c r="DF6" s="115" t="s">
        <v>344</v>
      </c>
      <c r="DG6" s="115" t="s">
        <v>345</v>
      </c>
      <c r="DH6" s="115" t="s">
        <v>347</v>
      </c>
      <c r="DI6" s="115" t="s">
        <v>344</v>
      </c>
      <c r="DJ6" s="115" t="s">
        <v>345</v>
      </c>
      <c r="DK6" s="115" t="s">
        <v>347</v>
      </c>
      <c r="DL6" s="115" t="s">
        <v>344</v>
      </c>
      <c r="DM6" s="115" t="s">
        <v>345</v>
      </c>
      <c r="DN6" s="115" t="s">
        <v>347</v>
      </c>
      <c r="DO6" s="115" t="s">
        <v>344</v>
      </c>
      <c r="DP6" s="115" t="s">
        <v>345</v>
      </c>
      <c r="DQ6" s="115" t="s">
        <v>347</v>
      </c>
      <c r="DR6" s="115" t="s">
        <v>344</v>
      </c>
      <c r="DS6" s="115" t="s">
        <v>345</v>
      </c>
      <c r="DT6" s="115" t="s">
        <v>347</v>
      </c>
      <c r="DU6" s="115" t="s">
        <v>344</v>
      </c>
      <c r="DV6" s="115" t="s">
        <v>345</v>
      </c>
      <c r="DW6" s="115" t="s">
        <v>347</v>
      </c>
      <c r="DX6" s="115" t="s">
        <v>344</v>
      </c>
      <c r="DY6" s="115" t="s">
        <v>345</v>
      </c>
      <c r="DZ6" s="115" t="s">
        <v>347</v>
      </c>
      <c r="EA6" s="115" t="s">
        <v>344</v>
      </c>
      <c r="EB6" s="115" t="s">
        <v>345</v>
      </c>
      <c r="EC6" s="115" t="s">
        <v>347</v>
      </c>
      <c r="ED6" s="115" t="s">
        <v>344</v>
      </c>
      <c r="EE6" s="115" t="s">
        <v>345</v>
      </c>
      <c r="EF6" s="115" t="s">
        <v>347</v>
      </c>
      <c r="EG6" s="115" t="s">
        <v>344</v>
      </c>
      <c r="EH6" s="115" t="s">
        <v>345</v>
      </c>
      <c r="EI6" s="115" t="s">
        <v>347</v>
      </c>
      <c r="EJ6" s="115" t="s">
        <v>344</v>
      </c>
      <c r="EK6" s="115" t="s">
        <v>345</v>
      </c>
      <c r="EL6" s="115" t="s">
        <v>347</v>
      </c>
      <c r="EM6" s="115" t="s">
        <v>344</v>
      </c>
      <c r="EN6" s="115" t="s">
        <v>345</v>
      </c>
      <c r="EO6" s="115" t="s">
        <v>347</v>
      </c>
      <c r="EP6" s="115" t="s">
        <v>344</v>
      </c>
      <c r="EQ6" s="115" t="s">
        <v>345</v>
      </c>
    </row>
    <row r="7" spans="1:149" s="98" customFormat="1" ht="14.25" hidden="1" customHeight="1">
      <c r="A7" s="601"/>
      <c r="B7" s="598"/>
      <c r="C7" s="598"/>
      <c r="D7" s="602">
        <v>2015</v>
      </c>
      <c r="E7" s="602"/>
      <c r="F7" s="602"/>
      <c r="G7" s="602"/>
      <c r="H7" s="602">
        <v>2016</v>
      </c>
      <c r="I7" s="602"/>
      <c r="J7" s="602"/>
      <c r="K7" s="602"/>
      <c r="L7" s="598">
        <v>2017</v>
      </c>
      <c r="M7" s="598"/>
      <c r="N7" s="598"/>
      <c r="O7" s="115"/>
      <c r="P7" s="115"/>
      <c r="Q7" s="598">
        <v>2018</v>
      </c>
      <c r="R7" s="598"/>
      <c r="S7" s="598"/>
      <c r="T7" s="115"/>
      <c r="U7" s="115"/>
      <c r="V7" s="598">
        <v>2019</v>
      </c>
      <c r="W7" s="598"/>
      <c r="X7" s="598"/>
      <c r="Y7" s="598">
        <v>2020</v>
      </c>
      <c r="Z7" s="598"/>
      <c r="AA7" s="598"/>
      <c r="AB7" s="598">
        <v>2021</v>
      </c>
      <c r="AC7" s="598"/>
      <c r="AD7" s="598"/>
      <c r="AE7" s="598">
        <v>2022</v>
      </c>
      <c r="AF7" s="598"/>
      <c r="AG7" s="598"/>
      <c r="AH7" s="598">
        <v>2023</v>
      </c>
      <c r="AI7" s="598"/>
      <c r="AJ7" s="598"/>
      <c r="AK7" s="598">
        <v>2024</v>
      </c>
      <c r="AL7" s="598"/>
      <c r="AM7" s="598"/>
      <c r="AN7" s="598">
        <v>2025</v>
      </c>
      <c r="AO7" s="598"/>
      <c r="AP7" s="598"/>
      <c r="AQ7" s="598">
        <v>2026</v>
      </c>
      <c r="AR7" s="598"/>
      <c r="AS7" s="598"/>
      <c r="AT7" s="598">
        <v>2027</v>
      </c>
      <c r="AU7" s="598"/>
      <c r="AV7" s="598"/>
      <c r="AW7" s="598">
        <v>2028</v>
      </c>
      <c r="AX7" s="598"/>
      <c r="AY7" s="598"/>
      <c r="AZ7" s="598">
        <v>2029</v>
      </c>
      <c r="BA7" s="598"/>
      <c r="BB7" s="598"/>
      <c r="BC7" s="598">
        <v>2030</v>
      </c>
      <c r="BD7" s="598"/>
      <c r="BE7" s="598"/>
      <c r="BF7" s="598">
        <v>2031</v>
      </c>
      <c r="BG7" s="598"/>
      <c r="BH7" s="598"/>
      <c r="BI7" s="598">
        <v>2032</v>
      </c>
      <c r="BJ7" s="598"/>
      <c r="BK7" s="598"/>
      <c r="BL7" s="598">
        <v>2033</v>
      </c>
      <c r="BM7" s="598"/>
      <c r="BN7" s="598"/>
      <c r="BO7" s="598">
        <v>2034</v>
      </c>
      <c r="BP7" s="598"/>
      <c r="BQ7" s="598"/>
      <c r="BR7" s="598">
        <v>2035</v>
      </c>
      <c r="BS7" s="598"/>
      <c r="BT7" s="598"/>
      <c r="BU7" s="598">
        <v>2036</v>
      </c>
      <c r="BV7" s="598"/>
      <c r="BW7" s="598"/>
      <c r="BX7" s="602">
        <v>2015</v>
      </c>
      <c r="BY7" s="602"/>
      <c r="BZ7" s="602"/>
      <c r="CA7" s="602"/>
      <c r="CB7" s="602">
        <v>2016</v>
      </c>
      <c r="CC7" s="602"/>
      <c r="CD7" s="602"/>
      <c r="CE7" s="602"/>
      <c r="CF7" s="598">
        <v>2017</v>
      </c>
      <c r="CG7" s="598"/>
      <c r="CH7" s="598"/>
      <c r="CI7" s="115"/>
      <c r="CJ7" s="115"/>
      <c r="CK7" s="598">
        <v>2018</v>
      </c>
      <c r="CL7" s="598"/>
      <c r="CM7" s="598"/>
      <c r="CN7" s="115"/>
      <c r="CO7" s="115"/>
      <c r="CP7" s="598">
        <v>2019</v>
      </c>
      <c r="CQ7" s="598"/>
      <c r="CR7" s="598"/>
      <c r="CS7" s="598">
        <v>2020</v>
      </c>
      <c r="CT7" s="598"/>
      <c r="CU7" s="598"/>
      <c r="CV7" s="598">
        <v>2021</v>
      </c>
      <c r="CW7" s="598"/>
      <c r="CX7" s="598"/>
      <c r="CY7" s="598">
        <v>2022</v>
      </c>
      <c r="CZ7" s="598"/>
      <c r="DA7" s="598"/>
      <c r="DB7" s="598">
        <v>2023</v>
      </c>
      <c r="DC7" s="598"/>
      <c r="DD7" s="598"/>
      <c r="DE7" s="598">
        <v>2024</v>
      </c>
      <c r="DF7" s="598"/>
      <c r="DG7" s="598"/>
      <c r="DH7" s="598">
        <v>2025</v>
      </c>
      <c r="DI7" s="598"/>
      <c r="DJ7" s="598"/>
      <c r="DK7" s="598">
        <v>2026</v>
      </c>
      <c r="DL7" s="598"/>
      <c r="DM7" s="598"/>
      <c r="DN7" s="598">
        <v>2027</v>
      </c>
      <c r="DO7" s="598"/>
      <c r="DP7" s="598"/>
      <c r="DQ7" s="598">
        <v>2028</v>
      </c>
      <c r="DR7" s="598"/>
      <c r="DS7" s="598"/>
      <c r="DT7" s="598">
        <v>2029</v>
      </c>
      <c r="DU7" s="598"/>
      <c r="DV7" s="598"/>
      <c r="DW7" s="598">
        <v>2030</v>
      </c>
      <c r="DX7" s="598"/>
      <c r="DY7" s="598"/>
      <c r="DZ7" s="598">
        <v>2031</v>
      </c>
      <c r="EA7" s="598"/>
      <c r="EB7" s="598"/>
      <c r="EC7" s="598">
        <v>2032</v>
      </c>
      <c r="ED7" s="598"/>
      <c r="EE7" s="598"/>
      <c r="EF7" s="598">
        <v>2033</v>
      </c>
      <c r="EG7" s="598"/>
      <c r="EH7" s="598"/>
      <c r="EI7" s="598">
        <v>2034</v>
      </c>
      <c r="EJ7" s="598"/>
      <c r="EK7" s="598"/>
      <c r="EL7" s="598">
        <v>2035</v>
      </c>
      <c r="EM7" s="598"/>
      <c r="EN7" s="598"/>
      <c r="EO7" s="598">
        <v>2036</v>
      </c>
      <c r="EP7" s="598"/>
      <c r="EQ7" s="598"/>
    </row>
    <row r="8" spans="1:149" s="98" customFormat="1" ht="14.25">
      <c r="A8" s="117" t="s">
        <v>111</v>
      </c>
      <c r="B8" s="117" t="s">
        <v>117</v>
      </c>
      <c r="C8" s="117" t="s">
        <v>125</v>
      </c>
      <c r="D8" s="117">
        <v>1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17">
        <v>1</v>
      </c>
      <c r="L8" s="117">
        <v>1</v>
      </c>
      <c r="M8" s="117">
        <v>1</v>
      </c>
      <c r="N8" s="117">
        <v>1</v>
      </c>
      <c r="O8" s="117">
        <v>1</v>
      </c>
      <c r="P8" s="117">
        <v>1</v>
      </c>
      <c r="Q8" s="117" t="s">
        <v>136</v>
      </c>
      <c r="R8" s="117">
        <v>1</v>
      </c>
      <c r="S8" s="117">
        <v>1</v>
      </c>
      <c r="T8" s="117" t="s">
        <v>348</v>
      </c>
      <c r="U8" s="117" t="s">
        <v>153</v>
      </c>
      <c r="V8" s="117">
        <v>1</v>
      </c>
      <c r="W8" s="117">
        <v>1</v>
      </c>
      <c r="X8" s="117">
        <v>1</v>
      </c>
      <c r="Y8" s="117">
        <v>1</v>
      </c>
      <c r="Z8" s="117">
        <v>1</v>
      </c>
      <c r="AA8" s="117">
        <v>1</v>
      </c>
      <c r="AB8" s="117">
        <v>1</v>
      </c>
      <c r="AC8" s="117">
        <v>1</v>
      </c>
      <c r="AD8" s="117">
        <v>1</v>
      </c>
      <c r="AE8" s="117">
        <v>1</v>
      </c>
      <c r="AF8" s="117">
        <v>1</v>
      </c>
      <c r="AG8" s="117">
        <v>1</v>
      </c>
      <c r="AH8" s="117">
        <v>1</v>
      </c>
      <c r="AI8" s="117">
        <v>1</v>
      </c>
      <c r="AJ8" s="117">
        <v>1</v>
      </c>
      <c r="AK8" s="117">
        <v>1</v>
      </c>
      <c r="AL8" s="117">
        <v>1</v>
      </c>
      <c r="AM8" s="117">
        <v>1</v>
      </c>
      <c r="AN8" s="117">
        <v>1</v>
      </c>
      <c r="AO8" s="117">
        <v>1</v>
      </c>
      <c r="AP8" s="117">
        <v>1</v>
      </c>
      <c r="AQ8" s="117">
        <v>1</v>
      </c>
      <c r="AR8" s="117">
        <v>1</v>
      </c>
      <c r="AS8" s="117">
        <v>1</v>
      </c>
      <c r="AT8" s="117">
        <v>1</v>
      </c>
      <c r="AU8" s="117">
        <v>1</v>
      </c>
      <c r="AV8" s="117">
        <v>1</v>
      </c>
      <c r="AW8" s="117">
        <v>1</v>
      </c>
      <c r="AX8" s="117">
        <v>1</v>
      </c>
      <c r="AY8" s="117">
        <v>1</v>
      </c>
      <c r="AZ8" s="117">
        <v>1</v>
      </c>
      <c r="BA8" s="117">
        <v>1</v>
      </c>
      <c r="BB8" s="117">
        <v>1</v>
      </c>
      <c r="BC8" s="117">
        <v>1</v>
      </c>
      <c r="BD8" s="117">
        <v>1</v>
      </c>
      <c r="BE8" s="117">
        <v>1</v>
      </c>
      <c r="BF8" s="117">
        <v>1</v>
      </c>
      <c r="BG8" s="117">
        <v>1</v>
      </c>
      <c r="BH8" s="117">
        <v>1</v>
      </c>
      <c r="BI8" s="117">
        <v>1</v>
      </c>
      <c r="BJ8" s="117">
        <v>1</v>
      </c>
      <c r="BK8" s="117">
        <v>1</v>
      </c>
      <c r="BL8" s="117">
        <v>1</v>
      </c>
      <c r="BM8" s="117">
        <v>1</v>
      </c>
      <c r="BN8" s="117">
        <v>1</v>
      </c>
      <c r="BO8" s="117">
        <v>1</v>
      </c>
      <c r="BP8" s="117">
        <v>1</v>
      </c>
      <c r="BQ8" s="117">
        <v>1</v>
      </c>
      <c r="BR8" s="117">
        <v>1</v>
      </c>
      <c r="BS8" s="117">
        <v>1</v>
      </c>
      <c r="BT8" s="117">
        <v>1</v>
      </c>
      <c r="BU8" s="117">
        <v>1</v>
      </c>
      <c r="BV8" s="117">
        <v>1</v>
      </c>
      <c r="BW8" s="117">
        <v>1</v>
      </c>
      <c r="BX8" s="117">
        <v>1</v>
      </c>
      <c r="BY8" s="117">
        <v>1</v>
      </c>
      <c r="BZ8" s="117">
        <v>1</v>
      </c>
      <c r="CA8" s="117">
        <v>1</v>
      </c>
      <c r="CB8" s="117">
        <v>1</v>
      </c>
      <c r="CC8" s="117">
        <v>1</v>
      </c>
      <c r="CD8" s="117">
        <v>1</v>
      </c>
      <c r="CE8" s="117">
        <v>1</v>
      </c>
      <c r="CF8" s="117">
        <v>1</v>
      </c>
      <c r="CG8" s="117">
        <v>1</v>
      </c>
      <c r="CH8" s="117">
        <v>1</v>
      </c>
      <c r="CI8" s="117">
        <v>1</v>
      </c>
      <c r="CJ8" s="117">
        <v>1</v>
      </c>
      <c r="CK8" s="117" t="s">
        <v>161</v>
      </c>
      <c r="CL8" s="117">
        <v>1</v>
      </c>
      <c r="CM8" s="117">
        <v>1</v>
      </c>
      <c r="CN8" s="117" t="s">
        <v>164</v>
      </c>
      <c r="CO8" s="117" t="s">
        <v>170</v>
      </c>
      <c r="CP8" s="279">
        <v>16</v>
      </c>
      <c r="CQ8" s="279">
        <v>17</v>
      </c>
      <c r="CR8" s="279">
        <v>18</v>
      </c>
      <c r="CS8" s="279">
        <v>19</v>
      </c>
      <c r="CT8" s="279">
        <v>20</v>
      </c>
      <c r="CU8" s="279">
        <v>21</v>
      </c>
      <c r="CV8" s="279">
        <v>22</v>
      </c>
      <c r="CW8" s="279">
        <v>23</v>
      </c>
      <c r="CX8" s="279">
        <v>24</v>
      </c>
      <c r="CY8" s="279">
        <v>25</v>
      </c>
      <c r="CZ8" s="279">
        <v>26</v>
      </c>
      <c r="DA8" s="279">
        <v>27</v>
      </c>
      <c r="DB8" s="279">
        <v>28</v>
      </c>
      <c r="DC8" s="279">
        <v>29</v>
      </c>
      <c r="DD8" s="279">
        <v>30</v>
      </c>
      <c r="DE8" s="279">
        <v>31</v>
      </c>
      <c r="DF8" s="279">
        <v>32</v>
      </c>
      <c r="DG8" s="279">
        <v>33</v>
      </c>
      <c r="DH8" s="279">
        <v>34</v>
      </c>
      <c r="DI8" s="279">
        <v>35</v>
      </c>
      <c r="DJ8" s="279">
        <v>36</v>
      </c>
      <c r="DK8" s="279">
        <v>37</v>
      </c>
      <c r="DL8" s="279">
        <v>38</v>
      </c>
      <c r="DM8" s="279">
        <v>39</v>
      </c>
      <c r="DN8" s="279">
        <v>40</v>
      </c>
      <c r="DO8" s="279">
        <v>41</v>
      </c>
      <c r="DP8" s="279">
        <v>42</v>
      </c>
      <c r="DQ8" s="279">
        <v>43</v>
      </c>
      <c r="DR8" s="279">
        <v>44</v>
      </c>
      <c r="DS8" s="279">
        <v>45</v>
      </c>
      <c r="DT8" s="279">
        <v>46</v>
      </c>
      <c r="DU8" s="279">
        <v>47</v>
      </c>
      <c r="DV8" s="279">
        <v>48</v>
      </c>
      <c r="DW8" s="279">
        <v>49</v>
      </c>
      <c r="DX8" s="279">
        <v>50</v>
      </c>
      <c r="DY8" s="279">
        <v>51</v>
      </c>
      <c r="DZ8" s="279">
        <v>52</v>
      </c>
      <c r="EA8" s="279">
        <v>53</v>
      </c>
      <c r="EB8" s="279">
        <v>54</v>
      </c>
      <c r="EC8" s="279">
        <v>55</v>
      </c>
      <c r="ED8" s="279">
        <v>56</v>
      </c>
      <c r="EE8" s="279">
        <v>57</v>
      </c>
      <c r="EF8" s="279">
        <v>58</v>
      </c>
      <c r="EG8" s="279">
        <v>59</v>
      </c>
      <c r="EH8" s="279">
        <v>60</v>
      </c>
      <c r="EI8" s="279">
        <v>61</v>
      </c>
      <c r="EJ8" s="279">
        <v>62</v>
      </c>
      <c r="EK8" s="279">
        <v>63</v>
      </c>
      <c r="EL8" s="279">
        <v>64</v>
      </c>
      <c r="EM8" s="279">
        <v>65</v>
      </c>
      <c r="EN8" s="279">
        <v>66</v>
      </c>
      <c r="EO8" s="279">
        <v>67</v>
      </c>
      <c r="EP8" s="279">
        <v>68</v>
      </c>
      <c r="EQ8" s="279">
        <v>69</v>
      </c>
    </row>
    <row r="9" spans="1:149" ht="24.75" customHeight="1">
      <c r="A9" s="117">
        <v>1</v>
      </c>
      <c r="B9" s="121" t="s">
        <v>113</v>
      </c>
      <c r="C9" s="122" t="s">
        <v>349</v>
      </c>
      <c r="D9" s="124">
        <f>[7]Расчет_тарифа_стр.1_3!D15</f>
        <v>258649.72127046899</v>
      </c>
      <c r="E9" s="124" t="s">
        <v>29</v>
      </c>
      <c r="F9" s="124" t="s">
        <v>29</v>
      </c>
      <c r="G9" s="124">
        <f>[7]Расчет_тарифа_стр.1_3!G15</f>
        <v>269194</v>
      </c>
      <c r="H9" s="124">
        <f>[7]Расчет_тарифа_стр.1_3!H15</f>
        <v>280378.30709039699</v>
      </c>
      <c r="I9" s="124" t="s">
        <v>29</v>
      </c>
      <c r="J9" s="124" t="s">
        <v>29</v>
      </c>
      <c r="K9" s="124">
        <f>[7]Расчет_тарифа_стр.1_3!K15</f>
        <v>0</v>
      </c>
      <c r="L9" s="124">
        <f t="shared" ref="L9:Q9" si="0">L10+L46+L47+L50</f>
        <v>279844.62822612392</v>
      </c>
      <c r="M9" s="124" t="s">
        <v>29</v>
      </c>
      <c r="N9" s="124" t="s">
        <v>29</v>
      </c>
      <c r="O9" s="124">
        <f t="shared" si="0"/>
        <v>295407.66202719801</v>
      </c>
      <c r="P9" s="124">
        <f t="shared" ref="P9:P19" si="1">O9-L9</f>
        <v>15563.033801074082</v>
      </c>
      <c r="Q9" s="124">
        <f t="shared" si="0"/>
        <v>300280.06329327391</v>
      </c>
      <c r="R9" s="124" t="s">
        <v>29</v>
      </c>
      <c r="S9" s="124" t="s">
        <v>29</v>
      </c>
      <c r="T9" s="124">
        <f t="shared" ref="T9:Y9" si="2">T10+T46+T47+T50</f>
        <v>306524.90615</v>
      </c>
      <c r="U9" s="124">
        <f t="shared" ref="U9:U19" si="3">T9-Q9</f>
        <v>6244.8428567260853</v>
      </c>
      <c r="V9" s="124">
        <f t="shared" si="2"/>
        <v>318798.25542105373</v>
      </c>
      <c r="W9" s="124" t="s">
        <v>29</v>
      </c>
      <c r="X9" s="124" t="s">
        <v>29</v>
      </c>
      <c r="Y9" s="124">
        <f t="shared" si="2"/>
        <v>332273.71192935563</v>
      </c>
      <c r="Z9" s="124" t="s">
        <v>29</v>
      </c>
      <c r="AA9" s="124" t="s">
        <v>29</v>
      </c>
      <c r="AB9" s="124">
        <f>AB10+AB46+AB47+AB50</f>
        <v>345336.81986600219</v>
      </c>
      <c r="AC9" s="124" t="s">
        <v>29</v>
      </c>
      <c r="AD9" s="124" t="s">
        <v>29</v>
      </c>
      <c r="AE9" s="124">
        <f t="shared" ref="AE9:AE51" si="4">AB9</f>
        <v>345336.81986600219</v>
      </c>
      <c r="AF9" s="124" t="s">
        <v>29</v>
      </c>
      <c r="AG9" s="124" t="s">
        <v>29</v>
      </c>
      <c r="AH9" s="124">
        <f t="shared" ref="AH9:AH51" si="5">AE9</f>
        <v>345336.81986600219</v>
      </c>
      <c r="AI9" s="124" t="s">
        <v>29</v>
      </c>
      <c r="AJ9" s="124" t="s">
        <v>29</v>
      </c>
      <c r="AK9" s="124">
        <f t="shared" ref="AK9:AK51" si="6">AH9</f>
        <v>345336.81986600219</v>
      </c>
      <c r="AL9" s="124" t="s">
        <v>29</v>
      </c>
      <c r="AM9" s="124" t="s">
        <v>29</v>
      </c>
      <c r="AN9" s="124">
        <f t="shared" ref="AN9:AN51" si="7">AK9</f>
        <v>345336.81986600219</v>
      </c>
      <c r="AO9" s="124" t="s">
        <v>29</v>
      </c>
      <c r="AP9" s="124" t="s">
        <v>29</v>
      </c>
      <c r="AQ9" s="124">
        <f t="shared" ref="AQ9:AQ51" si="8">AN9</f>
        <v>345336.81986600219</v>
      </c>
      <c r="AR9" s="124" t="s">
        <v>29</v>
      </c>
      <c r="AS9" s="124" t="s">
        <v>29</v>
      </c>
      <c r="AT9" s="124">
        <f t="shared" ref="AT9:AT51" si="9">AQ9</f>
        <v>345336.81986600219</v>
      </c>
      <c r="AU9" s="124" t="s">
        <v>29</v>
      </c>
      <c r="AV9" s="124" t="s">
        <v>29</v>
      </c>
      <c r="AW9" s="124">
        <f t="shared" ref="AW9:AW51" si="10">AT9</f>
        <v>345336.81986600219</v>
      </c>
      <c r="AX9" s="124" t="s">
        <v>29</v>
      </c>
      <c r="AY9" s="124" t="s">
        <v>29</v>
      </c>
      <c r="AZ9" s="124">
        <f t="shared" ref="AZ9:AZ51" si="11">AW9</f>
        <v>345336.81986600219</v>
      </c>
      <c r="BA9" s="124" t="s">
        <v>29</v>
      </c>
      <c r="BB9" s="124" t="s">
        <v>29</v>
      </c>
      <c r="BC9" s="124">
        <f t="shared" ref="BC9:BC51" si="12">AZ9</f>
        <v>345336.81986600219</v>
      </c>
      <c r="BD9" s="124" t="s">
        <v>29</v>
      </c>
      <c r="BE9" s="124" t="s">
        <v>29</v>
      </c>
      <c r="BF9" s="124">
        <f t="shared" ref="BF9:BF51" si="13">BC9</f>
        <v>345336.81986600219</v>
      </c>
      <c r="BG9" s="124" t="s">
        <v>29</v>
      </c>
      <c r="BH9" s="124" t="s">
        <v>29</v>
      </c>
      <c r="BI9" s="124">
        <f t="shared" ref="BI9:BI51" si="14">BF9</f>
        <v>345336.81986600219</v>
      </c>
      <c r="BJ9" s="124" t="s">
        <v>29</v>
      </c>
      <c r="BK9" s="124" t="s">
        <v>29</v>
      </c>
      <c r="BL9" s="124">
        <f t="shared" ref="BL9:BL51" si="15">BI9</f>
        <v>345336.81986600219</v>
      </c>
      <c r="BM9" s="124" t="s">
        <v>29</v>
      </c>
      <c r="BN9" s="124" t="s">
        <v>29</v>
      </c>
      <c r="BO9" s="124">
        <f t="shared" ref="BO9:BO51" si="16">BL9</f>
        <v>345336.81986600219</v>
      </c>
      <c r="BP9" s="124" t="s">
        <v>29</v>
      </c>
      <c r="BQ9" s="124" t="s">
        <v>29</v>
      </c>
      <c r="BR9" s="124">
        <f t="shared" ref="BR9:BR51" si="17">BO9</f>
        <v>345336.81986600219</v>
      </c>
      <c r="BS9" s="124" t="s">
        <v>29</v>
      </c>
      <c r="BT9" s="124" t="s">
        <v>29</v>
      </c>
      <c r="BU9" s="124">
        <f t="shared" ref="BU9:BU51" si="18">BR9</f>
        <v>345336.81986600219</v>
      </c>
      <c r="BV9" s="124" t="s">
        <v>29</v>
      </c>
      <c r="BW9" s="124" t="s">
        <v>29</v>
      </c>
      <c r="BX9" s="276">
        <f>[7]Расчет_тарифа_стр.1_3!AF15</f>
        <v>182819.06208306699</v>
      </c>
      <c r="BY9" s="277" t="str">
        <f>[7]Расчет_тарифа_стр.1_3!AG15</f>
        <v>х</v>
      </c>
      <c r="BZ9" s="277" t="str">
        <f>[7]Расчет_тарифа_стр.1_3!AH15</f>
        <v>х</v>
      </c>
      <c r="CA9" s="277">
        <f>[7]Расчет_тарифа_стр.1_3!AI15</f>
        <v>183166</v>
      </c>
      <c r="CB9" s="277">
        <f>[7]Расчет_тарифа_стр.1_3!AJ15</f>
        <v>175618.199952316</v>
      </c>
      <c r="CC9" s="277" t="str">
        <f>[7]Расчет_тарифа_стр.1_3!AK15</f>
        <v>х</v>
      </c>
      <c r="CD9" s="277" t="str">
        <f>[7]Расчет_тарифа_стр.1_3!AL15</f>
        <v>х</v>
      </c>
      <c r="CE9" s="277">
        <f>[7]Расчет_тарифа_стр.1_3!AM15</f>
        <v>0</v>
      </c>
      <c r="CF9" s="277">
        <f t="shared" ref="CF9:CK9" si="19">CF10+CF46+CF47+CF50</f>
        <v>204653.5178864011</v>
      </c>
      <c r="CG9" s="124" t="s">
        <v>29</v>
      </c>
      <c r="CH9" s="124" t="s">
        <v>29</v>
      </c>
      <c r="CI9" s="124">
        <f t="shared" si="19"/>
        <v>202889.59379725871</v>
      </c>
      <c r="CJ9" s="277">
        <f t="shared" ref="CJ9:CJ19" si="20">CI9-CF9</f>
        <v>-1763.9240891423833</v>
      </c>
      <c r="CK9" s="277">
        <f t="shared" si="19"/>
        <v>215859.33551813531</v>
      </c>
      <c r="CL9" s="124" t="s">
        <v>29</v>
      </c>
      <c r="CM9" s="124" t="s">
        <v>29</v>
      </c>
      <c r="CN9" s="124">
        <f t="shared" ref="CN9:CS9" si="21">CN10+CN46+CN47+CN50</f>
        <v>212526.48333000002</v>
      </c>
      <c r="CO9" s="124">
        <f t="shared" ref="CO9:CO19" si="22">CN9-CK9</f>
        <v>-3332.8521881352935</v>
      </c>
      <c r="CP9" s="277">
        <f t="shared" si="21"/>
        <v>225088.503555982</v>
      </c>
      <c r="CQ9" s="124" t="s">
        <v>29</v>
      </c>
      <c r="CR9" s="124" t="s">
        <v>29</v>
      </c>
      <c r="CS9" s="277">
        <f t="shared" si="21"/>
        <v>237816.30395911561</v>
      </c>
      <c r="CT9" s="124" t="s">
        <v>29</v>
      </c>
      <c r="CU9" s="124" t="s">
        <v>29</v>
      </c>
      <c r="CV9" s="277">
        <f>CV10+CV46+CV47+CV50</f>
        <v>248443.08595910328</v>
      </c>
      <c r="CW9" s="124" t="s">
        <v>29</v>
      </c>
      <c r="CX9" s="124" t="s">
        <v>29</v>
      </c>
      <c r="CY9" s="277">
        <f t="shared" ref="CY9:CY51" si="23">CV9</f>
        <v>248443.08595910328</v>
      </c>
      <c r="CZ9" s="124" t="s">
        <v>29</v>
      </c>
      <c r="DA9" s="124" t="s">
        <v>29</v>
      </c>
      <c r="DB9" s="277">
        <f t="shared" ref="DB9:DB51" si="24">CY9</f>
        <v>248443.08595910328</v>
      </c>
      <c r="DC9" s="124" t="s">
        <v>29</v>
      </c>
      <c r="DD9" s="124" t="s">
        <v>29</v>
      </c>
      <c r="DE9" s="277">
        <f t="shared" ref="DE9:DE51" si="25">DB9</f>
        <v>248443.08595910328</v>
      </c>
      <c r="DF9" s="124" t="s">
        <v>29</v>
      </c>
      <c r="DG9" s="124" t="s">
        <v>29</v>
      </c>
      <c r="DH9" s="277">
        <f t="shared" ref="DH9:DH51" si="26">DE9</f>
        <v>248443.08595910328</v>
      </c>
      <c r="DI9" s="124" t="s">
        <v>29</v>
      </c>
      <c r="DJ9" s="124" t="s">
        <v>29</v>
      </c>
      <c r="DK9" s="277">
        <f t="shared" ref="DK9:DK51" si="27">DH9</f>
        <v>248443.08595910328</v>
      </c>
      <c r="DL9" s="124" t="s">
        <v>29</v>
      </c>
      <c r="DM9" s="124" t="s">
        <v>29</v>
      </c>
      <c r="DN9" s="277">
        <f t="shared" ref="DN9:DN51" si="28">DK9</f>
        <v>248443.08595910328</v>
      </c>
      <c r="DO9" s="124" t="s">
        <v>29</v>
      </c>
      <c r="DP9" s="124" t="s">
        <v>29</v>
      </c>
      <c r="DQ9" s="277">
        <f t="shared" ref="DQ9:DQ51" si="29">DN9</f>
        <v>248443.08595910328</v>
      </c>
      <c r="DR9" s="124" t="s">
        <v>29</v>
      </c>
      <c r="DS9" s="124" t="s">
        <v>29</v>
      </c>
      <c r="DT9" s="277">
        <f t="shared" ref="DT9:DT51" si="30">DQ9</f>
        <v>248443.08595910328</v>
      </c>
      <c r="DU9" s="124" t="s">
        <v>29</v>
      </c>
      <c r="DV9" s="124" t="s">
        <v>29</v>
      </c>
      <c r="DW9" s="277">
        <f t="shared" ref="DW9:DW51" si="31">DT9</f>
        <v>248443.08595910328</v>
      </c>
      <c r="DX9" s="124" t="s">
        <v>29</v>
      </c>
      <c r="DY9" s="124" t="s">
        <v>29</v>
      </c>
      <c r="DZ9" s="277">
        <f t="shared" ref="DZ9:DZ51" si="32">DW9</f>
        <v>248443.08595910328</v>
      </c>
      <c r="EA9" s="124" t="s">
        <v>29</v>
      </c>
      <c r="EB9" s="124" t="s">
        <v>29</v>
      </c>
      <c r="EC9" s="277">
        <f t="shared" ref="EC9:EC51" si="33">DZ9</f>
        <v>248443.08595910328</v>
      </c>
      <c r="ED9" s="124" t="s">
        <v>29</v>
      </c>
      <c r="EE9" s="124" t="s">
        <v>29</v>
      </c>
      <c r="EF9" s="277">
        <f t="shared" ref="EF9:EF51" si="34">EC9</f>
        <v>248443.08595910328</v>
      </c>
      <c r="EG9" s="124" t="s">
        <v>29</v>
      </c>
      <c r="EH9" s="124" t="s">
        <v>29</v>
      </c>
      <c r="EI9" s="277">
        <f t="shared" ref="EI9:EI51" si="35">EF9</f>
        <v>248443.08595910328</v>
      </c>
      <c r="EJ9" s="124" t="s">
        <v>29</v>
      </c>
      <c r="EK9" s="124" t="s">
        <v>29</v>
      </c>
      <c r="EL9" s="277">
        <f t="shared" ref="EL9:EL51" si="36">EI9</f>
        <v>248443.08595910328</v>
      </c>
      <c r="EM9" s="124" t="s">
        <v>29</v>
      </c>
      <c r="EN9" s="124" t="s">
        <v>29</v>
      </c>
      <c r="EO9" s="277">
        <f t="shared" ref="EO9:EO51" si="37">EL9</f>
        <v>248443.08595910328</v>
      </c>
      <c r="EP9" s="124" t="s">
        <v>29</v>
      </c>
      <c r="EQ9" s="124" t="s">
        <v>29</v>
      </c>
    </row>
    <row r="10" spans="1:149">
      <c r="A10" s="125" t="s">
        <v>14</v>
      </c>
      <c r="B10" s="126" t="s">
        <v>350</v>
      </c>
      <c r="C10" s="122" t="s">
        <v>349</v>
      </c>
      <c r="D10" s="124">
        <f>[7]Расчет_тарифа_стр.1_3!D16</f>
        <v>241397.16336286999</v>
      </c>
      <c r="E10" s="124" t="s">
        <v>29</v>
      </c>
      <c r="F10" s="124" t="s">
        <v>29</v>
      </c>
      <c r="G10" s="124">
        <f>[7]Расчет_тарифа_стр.1_3!G16</f>
        <v>260880</v>
      </c>
      <c r="H10" s="124">
        <f>[7]Расчет_тарифа_стр.1_3!H16</f>
        <v>238832.14808660501</v>
      </c>
      <c r="I10" s="124" t="s">
        <v>29</v>
      </c>
      <c r="J10" s="124" t="s">
        <v>29</v>
      </c>
      <c r="K10" s="124">
        <f>[7]Расчет_тарифа_стр.1_3!K16</f>
        <v>0</v>
      </c>
      <c r="L10" s="124">
        <f t="shared" ref="L10:Q10" si="38">L11+L23+L24</f>
        <v>254501.32210958464</v>
      </c>
      <c r="M10" s="124" t="s">
        <v>29</v>
      </c>
      <c r="N10" s="124" t="s">
        <v>29</v>
      </c>
      <c r="O10" s="124">
        <f t="shared" si="38"/>
        <v>285217.64081907301</v>
      </c>
      <c r="P10" s="124">
        <f t="shared" si="1"/>
        <v>30716.318709488376</v>
      </c>
      <c r="Q10" s="124">
        <f t="shared" si="38"/>
        <v>265815.48118334659</v>
      </c>
      <c r="R10" s="124" t="s">
        <v>29</v>
      </c>
      <c r="S10" s="124" t="s">
        <v>29</v>
      </c>
      <c r="T10" s="124">
        <f t="shared" ref="T10:Y10" si="39">T11+T23+T24</f>
        <v>289488.93408416188</v>
      </c>
      <c r="U10" s="124">
        <f t="shared" si="3"/>
        <v>23673.452900815289</v>
      </c>
      <c r="V10" s="124">
        <f t="shared" si="39"/>
        <v>277236.17736720497</v>
      </c>
      <c r="W10" s="124" t="s">
        <v>29</v>
      </c>
      <c r="X10" s="124" t="s">
        <v>29</v>
      </c>
      <c r="Y10" s="124">
        <f t="shared" si="39"/>
        <v>288791.64431682078</v>
      </c>
      <c r="Z10" s="124" t="s">
        <v>29</v>
      </c>
      <c r="AA10" s="124" t="s">
        <v>29</v>
      </c>
      <c r="AB10" s="124">
        <f>AB11+AB23+AB24</f>
        <v>300152.91832477157</v>
      </c>
      <c r="AC10" s="124" t="s">
        <v>29</v>
      </c>
      <c r="AD10" s="124" t="s">
        <v>29</v>
      </c>
      <c r="AE10" s="124">
        <f t="shared" si="4"/>
        <v>300152.91832477157</v>
      </c>
      <c r="AF10" s="124" t="s">
        <v>29</v>
      </c>
      <c r="AG10" s="124" t="s">
        <v>29</v>
      </c>
      <c r="AH10" s="124">
        <f t="shared" si="5"/>
        <v>300152.91832477157</v>
      </c>
      <c r="AI10" s="124" t="s">
        <v>29</v>
      </c>
      <c r="AJ10" s="124" t="s">
        <v>29</v>
      </c>
      <c r="AK10" s="124">
        <f t="shared" si="6"/>
        <v>300152.91832477157</v>
      </c>
      <c r="AL10" s="124" t="s">
        <v>29</v>
      </c>
      <c r="AM10" s="124" t="s">
        <v>29</v>
      </c>
      <c r="AN10" s="124">
        <f t="shared" si="7"/>
        <v>300152.91832477157</v>
      </c>
      <c r="AO10" s="124" t="s">
        <v>29</v>
      </c>
      <c r="AP10" s="124" t="s">
        <v>29</v>
      </c>
      <c r="AQ10" s="124">
        <f t="shared" si="8"/>
        <v>300152.91832477157</v>
      </c>
      <c r="AR10" s="124" t="s">
        <v>29</v>
      </c>
      <c r="AS10" s="124" t="s">
        <v>29</v>
      </c>
      <c r="AT10" s="124">
        <f t="shared" si="9"/>
        <v>300152.91832477157</v>
      </c>
      <c r="AU10" s="124" t="s">
        <v>29</v>
      </c>
      <c r="AV10" s="124" t="s">
        <v>29</v>
      </c>
      <c r="AW10" s="124">
        <f t="shared" si="10"/>
        <v>300152.91832477157</v>
      </c>
      <c r="AX10" s="124" t="s">
        <v>29</v>
      </c>
      <c r="AY10" s="124" t="s">
        <v>29</v>
      </c>
      <c r="AZ10" s="124">
        <f t="shared" si="11"/>
        <v>300152.91832477157</v>
      </c>
      <c r="BA10" s="124" t="s">
        <v>29</v>
      </c>
      <c r="BB10" s="124" t="s">
        <v>29</v>
      </c>
      <c r="BC10" s="124">
        <f t="shared" si="12"/>
        <v>300152.91832477157</v>
      </c>
      <c r="BD10" s="124" t="s">
        <v>29</v>
      </c>
      <c r="BE10" s="124" t="s">
        <v>29</v>
      </c>
      <c r="BF10" s="124">
        <f t="shared" si="13"/>
        <v>300152.91832477157</v>
      </c>
      <c r="BG10" s="124" t="s">
        <v>29</v>
      </c>
      <c r="BH10" s="124" t="s">
        <v>29</v>
      </c>
      <c r="BI10" s="124">
        <f t="shared" si="14"/>
        <v>300152.91832477157</v>
      </c>
      <c r="BJ10" s="124" t="s">
        <v>29</v>
      </c>
      <c r="BK10" s="124" t="s">
        <v>29</v>
      </c>
      <c r="BL10" s="124">
        <f t="shared" si="15"/>
        <v>300152.91832477157</v>
      </c>
      <c r="BM10" s="124" t="s">
        <v>29</v>
      </c>
      <c r="BN10" s="124" t="s">
        <v>29</v>
      </c>
      <c r="BO10" s="124">
        <f t="shared" si="16"/>
        <v>300152.91832477157</v>
      </c>
      <c r="BP10" s="124" t="s">
        <v>29</v>
      </c>
      <c r="BQ10" s="124" t="s">
        <v>29</v>
      </c>
      <c r="BR10" s="124">
        <f t="shared" si="17"/>
        <v>300152.91832477157</v>
      </c>
      <c r="BS10" s="124" t="s">
        <v>29</v>
      </c>
      <c r="BT10" s="124" t="s">
        <v>29</v>
      </c>
      <c r="BU10" s="124">
        <f t="shared" si="18"/>
        <v>300152.91832477157</v>
      </c>
      <c r="BV10" s="124" t="s">
        <v>29</v>
      </c>
      <c r="BW10" s="124" t="s">
        <v>29</v>
      </c>
      <c r="BX10" s="276">
        <f>[7]Расчет_тарифа_стр.1_3!AF16</f>
        <v>164560.999983035</v>
      </c>
      <c r="BY10" s="277" t="str">
        <f>[7]Расчет_тарифа_стр.1_3!AG16</f>
        <v>х</v>
      </c>
      <c r="BZ10" s="277" t="str">
        <f>[7]Расчет_тарифа_стр.1_3!AH16</f>
        <v>х</v>
      </c>
      <c r="CA10" s="277">
        <f>[7]Расчет_тарифа_стр.1_3!AI16</f>
        <v>208454</v>
      </c>
      <c r="CB10" s="277">
        <f>[7]Расчет_тарифа_стр.1_3!AJ16</f>
        <v>198950.78097108399</v>
      </c>
      <c r="CC10" s="277" t="str">
        <f>[7]Расчет_тарифа_стр.1_3!AK16</f>
        <v>х</v>
      </c>
      <c r="CD10" s="277" t="str">
        <f>[7]Расчет_тарифа_стр.1_3!AL16</f>
        <v>х</v>
      </c>
      <c r="CE10" s="277">
        <f>[7]Расчет_тарифа_стр.1_3!AM16</f>
        <v>0</v>
      </c>
      <c r="CF10" s="124">
        <f t="shared" ref="CF10:CK10" si="40">CF11+CF23+CF24</f>
        <v>183637.46877305431</v>
      </c>
      <c r="CG10" s="124" t="s">
        <v>29</v>
      </c>
      <c r="CH10" s="124" t="s">
        <v>29</v>
      </c>
      <c r="CI10" s="124">
        <f t="shared" si="40"/>
        <v>200645.56871588924</v>
      </c>
      <c r="CJ10" s="124">
        <f t="shared" si="20"/>
        <v>17008.099942834931</v>
      </c>
      <c r="CK10" s="124">
        <f t="shared" si="40"/>
        <v>191585.72141686024</v>
      </c>
      <c r="CL10" s="124" t="s">
        <v>29</v>
      </c>
      <c r="CM10" s="124" t="s">
        <v>29</v>
      </c>
      <c r="CN10" s="124">
        <f t="shared" ref="CN10:CS10" si="41">CN11+CN23+CN24</f>
        <v>199219.04230294179</v>
      </c>
      <c r="CO10" s="124">
        <f t="shared" si="22"/>
        <v>7633.3208860815503</v>
      </c>
      <c r="CP10" s="124">
        <f t="shared" si="41"/>
        <v>200006.94416432947</v>
      </c>
      <c r="CQ10" s="124" t="s">
        <v>29</v>
      </c>
      <c r="CR10" s="124" t="s">
        <v>29</v>
      </c>
      <c r="CS10" s="124">
        <f t="shared" si="41"/>
        <v>208533.5983547045</v>
      </c>
      <c r="CT10" s="124" t="s">
        <v>29</v>
      </c>
      <c r="CU10" s="124" t="s">
        <v>29</v>
      </c>
      <c r="CV10" s="124">
        <f>CV11+CV23+CV24</f>
        <v>216880.2650406126</v>
      </c>
      <c r="CW10" s="124" t="s">
        <v>29</v>
      </c>
      <c r="CX10" s="124" t="s">
        <v>29</v>
      </c>
      <c r="CY10" s="277">
        <f t="shared" si="23"/>
        <v>216880.2650406126</v>
      </c>
      <c r="CZ10" s="124" t="s">
        <v>29</v>
      </c>
      <c r="DA10" s="124" t="s">
        <v>29</v>
      </c>
      <c r="DB10" s="277">
        <f t="shared" si="24"/>
        <v>216880.2650406126</v>
      </c>
      <c r="DC10" s="124" t="s">
        <v>29</v>
      </c>
      <c r="DD10" s="124" t="s">
        <v>29</v>
      </c>
      <c r="DE10" s="277">
        <f t="shared" si="25"/>
        <v>216880.2650406126</v>
      </c>
      <c r="DF10" s="124" t="s">
        <v>29</v>
      </c>
      <c r="DG10" s="124" t="s">
        <v>29</v>
      </c>
      <c r="DH10" s="277">
        <f t="shared" si="26"/>
        <v>216880.2650406126</v>
      </c>
      <c r="DI10" s="124" t="s">
        <v>29</v>
      </c>
      <c r="DJ10" s="124" t="s">
        <v>29</v>
      </c>
      <c r="DK10" s="277">
        <f t="shared" si="27"/>
        <v>216880.2650406126</v>
      </c>
      <c r="DL10" s="124" t="s">
        <v>29</v>
      </c>
      <c r="DM10" s="124" t="s">
        <v>29</v>
      </c>
      <c r="DN10" s="277">
        <f t="shared" si="28"/>
        <v>216880.2650406126</v>
      </c>
      <c r="DO10" s="124" t="s">
        <v>29</v>
      </c>
      <c r="DP10" s="124" t="s">
        <v>29</v>
      </c>
      <c r="DQ10" s="277">
        <f t="shared" si="29"/>
        <v>216880.2650406126</v>
      </c>
      <c r="DR10" s="124" t="s">
        <v>29</v>
      </c>
      <c r="DS10" s="124" t="s">
        <v>29</v>
      </c>
      <c r="DT10" s="277">
        <f t="shared" si="30"/>
        <v>216880.2650406126</v>
      </c>
      <c r="DU10" s="124" t="s">
        <v>29</v>
      </c>
      <c r="DV10" s="124" t="s">
        <v>29</v>
      </c>
      <c r="DW10" s="277">
        <f t="shared" si="31"/>
        <v>216880.2650406126</v>
      </c>
      <c r="DX10" s="124" t="s">
        <v>29</v>
      </c>
      <c r="DY10" s="124" t="s">
        <v>29</v>
      </c>
      <c r="DZ10" s="277">
        <f t="shared" si="32"/>
        <v>216880.2650406126</v>
      </c>
      <c r="EA10" s="124" t="s">
        <v>29</v>
      </c>
      <c r="EB10" s="124" t="s">
        <v>29</v>
      </c>
      <c r="EC10" s="277">
        <f t="shared" si="33"/>
        <v>216880.2650406126</v>
      </c>
      <c r="ED10" s="124" t="s">
        <v>29</v>
      </c>
      <c r="EE10" s="124" t="s">
        <v>29</v>
      </c>
      <c r="EF10" s="277">
        <f t="shared" si="34"/>
        <v>216880.2650406126</v>
      </c>
      <c r="EG10" s="124" t="s">
        <v>29</v>
      </c>
      <c r="EH10" s="124" t="s">
        <v>29</v>
      </c>
      <c r="EI10" s="277">
        <f t="shared" si="35"/>
        <v>216880.2650406126</v>
      </c>
      <c r="EJ10" s="124" t="s">
        <v>29</v>
      </c>
      <c r="EK10" s="124" t="s">
        <v>29</v>
      </c>
      <c r="EL10" s="277">
        <f t="shared" si="36"/>
        <v>216880.2650406126</v>
      </c>
      <c r="EM10" s="124" t="s">
        <v>29</v>
      </c>
      <c r="EN10" s="124" t="s">
        <v>29</v>
      </c>
      <c r="EO10" s="277">
        <f t="shared" si="37"/>
        <v>216880.2650406126</v>
      </c>
      <c r="EP10" s="124" t="s">
        <v>29</v>
      </c>
      <c r="EQ10" s="124" t="s">
        <v>29</v>
      </c>
    </row>
    <row r="11" spans="1:149">
      <c r="A11" s="125" t="s">
        <v>351</v>
      </c>
      <c r="B11" s="126" t="s">
        <v>352</v>
      </c>
      <c r="C11" s="122" t="s">
        <v>349</v>
      </c>
      <c r="D11" s="124">
        <f>[7]Расчет_тарифа_стр.1_3!D17</f>
        <v>115030.50486502099</v>
      </c>
      <c r="E11" s="124" t="s">
        <v>29</v>
      </c>
      <c r="F11" s="124" t="s">
        <v>29</v>
      </c>
      <c r="G11" s="124">
        <f>[7]Расчет_тарифа_стр.1_3!G17</f>
        <v>158798</v>
      </c>
      <c r="H11" s="124">
        <f>[7]Расчет_тарифа_стр.1_3!H17</f>
        <v>122307.334284279</v>
      </c>
      <c r="I11" s="124" t="s">
        <v>29</v>
      </c>
      <c r="J11" s="124" t="s">
        <v>29</v>
      </c>
      <c r="K11" s="124">
        <f>[7]Расчет_тарифа_стр.1_3!K17</f>
        <v>0</v>
      </c>
      <c r="L11" s="124">
        <f t="shared" ref="L11:Q11" si="42">L12+L18+L19</f>
        <v>136799.67543949309</v>
      </c>
      <c r="M11" s="124" t="s">
        <v>29</v>
      </c>
      <c r="N11" s="124" t="s">
        <v>29</v>
      </c>
      <c r="O11" s="124">
        <f t="shared" si="42"/>
        <v>162552.49706501898</v>
      </c>
      <c r="P11" s="124">
        <f t="shared" si="1"/>
        <v>25752.821625525889</v>
      </c>
      <c r="Q11" s="124">
        <f t="shared" si="42"/>
        <v>141861.26343073332</v>
      </c>
      <c r="R11" s="124" t="s">
        <v>29</v>
      </c>
      <c r="S11" s="124" t="s">
        <v>29</v>
      </c>
      <c r="T11" s="124">
        <f t="shared" ref="T11:Y11" si="43">T12+T18+T19</f>
        <v>172851.0600703845</v>
      </c>
      <c r="U11" s="124">
        <f t="shared" si="3"/>
        <v>30989.796639651177</v>
      </c>
      <c r="V11" s="124">
        <f t="shared" si="43"/>
        <v>147110.13017764856</v>
      </c>
      <c r="W11" s="124" t="s">
        <v>29</v>
      </c>
      <c r="X11" s="124" t="s">
        <v>29</v>
      </c>
      <c r="Y11" s="124">
        <f t="shared" si="43"/>
        <v>152553.20499419878</v>
      </c>
      <c r="Z11" s="124" t="s">
        <v>29</v>
      </c>
      <c r="AA11" s="124" t="s">
        <v>29</v>
      </c>
      <c r="AB11" s="124">
        <f>AB12+AB18+AB19</f>
        <v>158197.67357896056</v>
      </c>
      <c r="AC11" s="124" t="s">
        <v>29</v>
      </c>
      <c r="AD11" s="124" t="s">
        <v>29</v>
      </c>
      <c r="AE11" s="124">
        <f t="shared" si="4"/>
        <v>158197.67357896056</v>
      </c>
      <c r="AF11" s="124" t="s">
        <v>29</v>
      </c>
      <c r="AG11" s="124" t="s">
        <v>29</v>
      </c>
      <c r="AH11" s="124">
        <f t="shared" si="5"/>
        <v>158197.67357896056</v>
      </c>
      <c r="AI11" s="124" t="s">
        <v>29</v>
      </c>
      <c r="AJ11" s="124" t="s">
        <v>29</v>
      </c>
      <c r="AK11" s="124">
        <f t="shared" si="6"/>
        <v>158197.67357896056</v>
      </c>
      <c r="AL11" s="124" t="s">
        <v>29</v>
      </c>
      <c r="AM11" s="124" t="s">
        <v>29</v>
      </c>
      <c r="AN11" s="124">
        <f t="shared" si="7"/>
        <v>158197.67357896056</v>
      </c>
      <c r="AO11" s="124" t="s">
        <v>29</v>
      </c>
      <c r="AP11" s="124" t="s">
        <v>29</v>
      </c>
      <c r="AQ11" s="124">
        <f t="shared" si="8"/>
        <v>158197.67357896056</v>
      </c>
      <c r="AR11" s="124" t="s">
        <v>29</v>
      </c>
      <c r="AS11" s="124" t="s">
        <v>29</v>
      </c>
      <c r="AT11" s="124">
        <f t="shared" si="9"/>
        <v>158197.67357896056</v>
      </c>
      <c r="AU11" s="124" t="s">
        <v>29</v>
      </c>
      <c r="AV11" s="124" t="s">
        <v>29</v>
      </c>
      <c r="AW11" s="124">
        <f t="shared" si="10"/>
        <v>158197.67357896056</v>
      </c>
      <c r="AX11" s="124" t="s">
        <v>29</v>
      </c>
      <c r="AY11" s="124" t="s">
        <v>29</v>
      </c>
      <c r="AZ11" s="124">
        <f t="shared" si="11"/>
        <v>158197.67357896056</v>
      </c>
      <c r="BA11" s="124" t="s">
        <v>29</v>
      </c>
      <c r="BB11" s="124" t="s">
        <v>29</v>
      </c>
      <c r="BC11" s="124">
        <f t="shared" si="12"/>
        <v>158197.67357896056</v>
      </c>
      <c r="BD11" s="124" t="s">
        <v>29</v>
      </c>
      <c r="BE11" s="124" t="s">
        <v>29</v>
      </c>
      <c r="BF11" s="124">
        <f t="shared" si="13"/>
        <v>158197.67357896056</v>
      </c>
      <c r="BG11" s="124" t="s">
        <v>29</v>
      </c>
      <c r="BH11" s="124" t="s">
        <v>29</v>
      </c>
      <c r="BI11" s="124">
        <f t="shared" si="14"/>
        <v>158197.67357896056</v>
      </c>
      <c r="BJ11" s="124" t="s">
        <v>29</v>
      </c>
      <c r="BK11" s="124" t="s">
        <v>29</v>
      </c>
      <c r="BL11" s="124">
        <f t="shared" si="15"/>
        <v>158197.67357896056</v>
      </c>
      <c r="BM11" s="124" t="s">
        <v>29</v>
      </c>
      <c r="BN11" s="124" t="s">
        <v>29</v>
      </c>
      <c r="BO11" s="124">
        <f t="shared" si="16"/>
        <v>158197.67357896056</v>
      </c>
      <c r="BP11" s="124" t="s">
        <v>29</v>
      </c>
      <c r="BQ11" s="124" t="s">
        <v>29</v>
      </c>
      <c r="BR11" s="124">
        <f t="shared" si="17"/>
        <v>158197.67357896056</v>
      </c>
      <c r="BS11" s="124" t="s">
        <v>29</v>
      </c>
      <c r="BT11" s="124" t="s">
        <v>29</v>
      </c>
      <c r="BU11" s="124">
        <f t="shared" si="18"/>
        <v>158197.67357896056</v>
      </c>
      <c r="BV11" s="124" t="s">
        <v>29</v>
      </c>
      <c r="BW11" s="124" t="s">
        <v>29</v>
      </c>
      <c r="BX11" s="276">
        <f>[7]Расчет_тарифа_стр.1_3!AF17</f>
        <v>91136.287557376898</v>
      </c>
      <c r="BY11" s="277" t="str">
        <f>[7]Расчет_тарифа_стр.1_3!AG17</f>
        <v>х</v>
      </c>
      <c r="BZ11" s="277" t="str">
        <f>[7]Расчет_тарифа_стр.1_3!AH17</f>
        <v>х</v>
      </c>
      <c r="CA11" s="277">
        <f>[7]Расчет_тарифа_стр.1_3!AI17</f>
        <v>143801</v>
      </c>
      <c r="CB11" s="277">
        <f>[7]Расчет_тарифа_стр.1_3!AJ17</f>
        <v>117838.61607576501</v>
      </c>
      <c r="CC11" s="277" t="str">
        <f>[7]Расчет_тарифа_стр.1_3!AK17</f>
        <v>х</v>
      </c>
      <c r="CD11" s="277" t="str">
        <f>[7]Расчет_тарифа_стр.1_3!AL17</f>
        <v>х</v>
      </c>
      <c r="CE11" s="277">
        <f>[7]Расчет_тарифа_стр.1_3!AM17</f>
        <v>0</v>
      </c>
      <c r="CF11" s="277">
        <f t="shared" ref="CF11:CK11" si="44">CF12+CF18+CF19</f>
        <v>124137.49575433898</v>
      </c>
      <c r="CG11" s="124" t="s">
        <v>29</v>
      </c>
      <c r="CH11" s="124" t="s">
        <v>29</v>
      </c>
      <c r="CI11" s="124">
        <f t="shared" si="44"/>
        <v>139333.94194341078</v>
      </c>
      <c r="CJ11" s="277">
        <f t="shared" si="20"/>
        <v>15196.446189071808</v>
      </c>
      <c r="CK11" s="277">
        <f t="shared" si="44"/>
        <v>128730.5802372419</v>
      </c>
      <c r="CL11" s="124" t="s">
        <v>29</v>
      </c>
      <c r="CM11" s="124" t="s">
        <v>29</v>
      </c>
      <c r="CN11" s="124">
        <f t="shared" ref="CN11:CS11" si="45">CN12+CN18+CN19</f>
        <v>138634.02320000003</v>
      </c>
      <c r="CO11" s="124">
        <f t="shared" si="22"/>
        <v>9903.4429627581267</v>
      </c>
      <c r="CP11" s="277">
        <f t="shared" si="45"/>
        <v>133493.61004242738</v>
      </c>
      <c r="CQ11" s="124" t="s">
        <v>29</v>
      </c>
      <c r="CR11" s="124" t="s">
        <v>29</v>
      </c>
      <c r="CS11" s="277">
        <f t="shared" si="45"/>
        <v>138432.87361398418</v>
      </c>
      <c r="CT11" s="124" t="s">
        <v>29</v>
      </c>
      <c r="CU11" s="124" t="s">
        <v>29</v>
      </c>
      <c r="CV11" s="277">
        <f>CV12+CV18+CV19</f>
        <v>143554.88993768708</v>
      </c>
      <c r="CW11" s="124" t="s">
        <v>29</v>
      </c>
      <c r="CX11" s="124" t="s">
        <v>29</v>
      </c>
      <c r="CY11" s="277">
        <f t="shared" si="23"/>
        <v>143554.88993768708</v>
      </c>
      <c r="CZ11" s="124" t="s">
        <v>29</v>
      </c>
      <c r="DA11" s="124" t="s">
        <v>29</v>
      </c>
      <c r="DB11" s="277">
        <f t="shared" si="24"/>
        <v>143554.88993768708</v>
      </c>
      <c r="DC11" s="124" t="s">
        <v>29</v>
      </c>
      <c r="DD11" s="124" t="s">
        <v>29</v>
      </c>
      <c r="DE11" s="277">
        <f t="shared" si="25"/>
        <v>143554.88993768708</v>
      </c>
      <c r="DF11" s="124" t="s">
        <v>29</v>
      </c>
      <c r="DG11" s="124" t="s">
        <v>29</v>
      </c>
      <c r="DH11" s="277">
        <f t="shared" si="26"/>
        <v>143554.88993768708</v>
      </c>
      <c r="DI11" s="124" t="s">
        <v>29</v>
      </c>
      <c r="DJ11" s="124" t="s">
        <v>29</v>
      </c>
      <c r="DK11" s="277">
        <f t="shared" si="27"/>
        <v>143554.88993768708</v>
      </c>
      <c r="DL11" s="124" t="s">
        <v>29</v>
      </c>
      <c r="DM11" s="124" t="s">
        <v>29</v>
      </c>
      <c r="DN11" s="277">
        <f t="shared" si="28"/>
        <v>143554.88993768708</v>
      </c>
      <c r="DO11" s="124" t="s">
        <v>29</v>
      </c>
      <c r="DP11" s="124" t="s">
        <v>29</v>
      </c>
      <c r="DQ11" s="277">
        <f t="shared" si="29"/>
        <v>143554.88993768708</v>
      </c>
      <c r="DR11" s="124" t="s">
        <v>29</v>
      </c>
      <c r="DS11" s="124" t="s">
        <v>29</v>
      </c>
      <c r="DT11" s="277">
        <f t="shared" si="30"/>
        <v>143554.88993768708</v>
      </c>
      <c r="DU11" s="124" t="s">
        <v>29</v>
      </c>
      <c r="DV11" s="124" t="s">
        <v>29</v>
      </c>
      <c r="DW11" s="277">
        <f t="shared" si="31"/>
        <v>143554.88993768708</v>
      </c>
      <c r="DX11" s="124" t="s">
        <v>29</v>
      </c>
      <c r="DY11" s="124" t="s">
        <v>29</v>
      </c>
      <c r="DZ11" s="277">
        <f t="shared" si="32"/>
        <v>143554.88993768708</v>
      </c>
      <c r="EA11" s="124" t="s">
        <v>29</v>
      </c>
      <c r="EB11" s="124" t="s">
        <v>29</v>
      </c>
      <c r="EC11" s="277">
        <f t="shared" si="33"/>
        <v>143554.88993768708</v>
      </c>
      <c r="ED11" s="124" t="s">
        <v>29</v>
      </c>
      <c r="EE11" s="124" t="s">
        <v>29</v>
      </c>
      <c r="EF11" s="277">
        <f t="shared" si="34"/>
        <v>143554.88993768708</v>
      </c>
      <c r="EG11" s="124" t="s">
        <v>29</v>
      </c>
      <c r="EH11" s="124" t="s">
        <v>29</v>
      </c>
      <c r="EI11" s="277">
        <f t="shared" si="35"/>
        <v>143554.88993768708</v>
      </c>
      <c r="EJ11" s="124" t="s">
        <v>29</v>
      </c>
      <c r="EK11" s="124" t="s">
        <v>29</v>
      </c>
      <c r="EL11" s="277">
        <f t="shared" si="36"/>
        <v>143554.88993768708</v>
      </c>
      <c r="EM11" s="124" t="s">
        <v>29</v>
      </c>
      <c r="EN11" s="124" t="s">
        <v>29</v>
      </c>
      <c r="EO11" s="277">
        <f t="shared" si="37"/>
        <v>143554.88993768708</v>
      </c>
      <c r="EP11" s="124" t="s">
        <v>29</v>
      </c>
      <c r="EQ11" s="124" t="s">
        <v>29</v>
      </c>
    </row>
    <row r="12" spans="1:149">
      <c r="A12" s="125" t="s">
        <v>353</v>
      </c>
      <c r="B12" s="126" t="s">
        <v>354</v>
      </c>
      <c r="C12" s="122" t="s">
        <v>349</v>
      </c>
      <c r="D12" s="124">
        <f>[7]БУОР_стр.1_2!D13</f>
        <v>98366.558094967695</v>
      </c>
      <c r="E12" s="124" t="s">
        <v>29</v>
      </c>
      <c r="F12" s="124" t="s">
        <v>29</v>
      </c>
      <c r="G12" s="124">
        <f>[7]БУОР_стр.1_2!E13</f>
        <v>80468</v>
      </c>
      <c r="H12" s="124">
        <f>[7]БУОР_стр.1_2!F13</f>
        <v>104584.960552744</v>
      </c>
      <c r="I12" s="124" t="s">
        <v>29</v>
      </c>
      <c r="J12" s="124" t="s">
        <v>29</v>
      </c>
      <c r="K12" s="124">
        <f>[7]БУОР_стр.1_2!G13</f>
        <v>0</v>
      </c>
      <c r="L12" s="124">
        <f t="shared" ref="L12:Q12" si="46">L13+L14+L16+L17</f>
        <v>108456.39155824776</v>
      </c>
      <c r="M12" s="124" t="s">
        <v>29</v>
      </c>
      <c r="N12" s="124" t="s">
        <v>29</v>
      </c>
      <c r="O12" s="124">
        <f t="shared" si="46"/>
        <v>126409.03309080149</v>
      </c>
      <c r="P12" s="124">
        <f t="shared" si="1"/>
        <v>17952.641532553724</v>
      </c>
      <c r="Q12" s="124">
        <f t="shared" si="46"/>
        <v>112469.2780458819</v>
      </c>
      <c r="R12" s="124" t="s">
        <v>29</v>
      </c>
      <c r="S12" s="124" t="s">
        <v>29</v>
      </c>
      <c r="T12" s="124">
        <f t="shared" ref="T12:Y12" si="47">T13+T14+T16+T17</f>
        <v>138010.06581038449</v>
      </c>
      <c r="U12" s="124">
        <f t="shared" si="3"/>
        <v>25540.787764502587</v>
      </c>
      <c r="V12" s="124">
        <f t="shared" si="47"/>
        <v>116630.64133355764</v>
      </c>
      <c r="W12" s="124" t="s">
        <v>29</v>
      </c>
      <c r="X12" s="124" t="s">
        <v>29</v>
      </c>
      <c r="Y12" s="124">
        <f t="shared" si="47"/>
        <v>120945.97506287649</v>
      </c>
      <c r="Z12" s="124" t="s">
        <v>29</v>
      </c>
      <c r="AA12" s="124" t="s">
        <v>29</v>
      </c>
      <c r="AB12" s="124">
        <f>AB13+AB14+AB16+AB17</f>
        <v>125420.97614017934</v>
      </c>
      <c r="AC12" s="124" t="s">
        <v>29</v>
      </c>
      <c r="AD12" s="124" t="s">
        <v>29</v>
      </c>
      <c r="AE12" s="124">
        <f t="shared" si="4"/>
        <v>125420.97614017934</v>
      </c>
      <c r="AF12" s="124" t="s">
        <v>29</v>
      </c>
      <c r="AG12" s="124" t="s">
        <v>29</v>
      </c>
      <c r="AH12" s="124">
        <f t="shared" si="5"/>
        <v>125420.97614017934</v>
      </c>
      <c r="AI12" s="124" t="s">
        <v>29</v>
      </c>
      <c r="AJ12" s="124" t="s">
        <v>29</v>
      </c>
      <c r="AK12" s="124">
        <f t="shared" si="6"/>
        <v>125420.97614017934</v>
      </c>
      <c r="AL12" s="124" t="s">
        <v>29</v>
      </c>
      <c r="AM12" s="124" t="s">
        <v>29</v>
      </c>
      <c r="AN12" s="124">
        <f t="shared" si="7"/>
        <v>125420.97614017934</v>
      </c>
      <c r="AO12" s="124" t="s">
        <v>29</v>
      </c>
      <c r="AP12" s="124" t="s">
        <v>29</v>
      </c>
      <c r="AQ12" s="124">
        <f t="shared" si="8"/>
        <v>125420.97614017934</v>
      </c>
      <c r="AR12" s="124" t="s">
        <v>29</v>
      </c>
      <c r="AS12" s="124" t="s">
        <v>29</v>
      </c>
      <c r="AT12" s="124">
        <f t="shared" si="9"/>
        <v>125420.97614017934</v>
      </c>
      <c r="AU12" s="124" t="s">
        <v>29</v>
      </c>
      <c r="AV12" s="124" t="s">
        <v>29</v>
      </c>
      <c r="AW12" s="124">
        <f t="shared" si="10"/>
        <v>125420.97614017934</v>
      </c>
      <c r="AX12" s="124" t="s">
        <v>29</v>
      </c>
      <c r="AY12" s="124" t="s">
        <v>29</v>
      </c>
      <c r="AZ12" s="124">
        <f t="shared" si="11"/>
        <v>125420.97614017934</v>
      </c>
      <c r="BA12" s="124" t="s">
        <v>29</v>
      </c>
      <c r="BB12" s="124" t="s">
        <v>29</v>
      </c>
      <c r="BC12" s="124">
        <f t="shared" si="12"/>
        <v>125420.97614017934</v>
      </c>
      <c r="BD12" s="124" t="s">
        <v>29</v>
      </c>
      <c r="BE12" s="124" t="s">
        <v>29</v>
      </c>
      <c r="BF12" s="124">
        <f t="shared" si="13"/>
        <v>125420.97614017934</v>
      </c>
      <c r="BG12" s="124" t="s">
        <v>29</v>
      </c>
      <c r="BH12" s="124" t="s">
        <v>29</v>
      </c>
      <c r="BI12" s="124">
        <f t="shared" si="14"/>
        <v>125420.97614017934</v>
      </c>
      <c r="BJ12" s="124" t="s">
        <v>29</v>
      </c>
      <c r="BK12" s="124" t="s">
        <v>29</v>
      </c>
      <c r="BL12" s="124">
        <f t="shared" si="15"/>
        <v>125420.97614017934</v>
      </c>
      <c r="BM12" s="124" t="s">
        <v>29</v>
      </c>
      <c r="BN12" s="124" t="s">
        <v>29</v>
      </c>
      <c r="BO12" s="124">
        <f t="shared" si="16"/>
        <v>125420.97614017934</v>
      </c>
      <c r="BP12" s="124" t="s">
        <v>29</v>
      </c>
      <c r="BQ12" s="124" t="s">
        <v>29</v>
      </c>
      <c r="BR12" s="124">
        <f t="shared" si="17"/>
        <v>125420.97614017934</v>
      </c>
      <c r="BS12" s="124" t="s">
        <v>29</v>
      </c>
      <c r="BT12" s="124" t="s">
        <v>29</v>
      </c>
      <c r="BU12" s="124">
        <f t="shared" si="18"/>
        <v>125420.97614017934</v>
      </c>
      <c r="BV12" s="124" t="s">
        <v>29</v>
      </c>
      <c r="BW12" s="124" t="s">
        <v>29</v>
      </c>
      <c r="BX12" s="124">
        <f>[7]БУОР_стр.1_2!AB13</f>
        <v>105074.295038335</v>
      </c>
      <c r="BY12" s="277" t="str">
        <f>[7]Расчет_тарифа_стр.1_3!AG18</f>
        <v>х</v>
      </c>
      <c r="BZ12" s="277" t="str">
        <f>[7]Расчет_тарифа_стр.1_3!AH18</f>
        <v>х</v>
      </c>
      <c r="CA12" s="124">
        <f>[7]БУОР_стр.1_2!AC13</f>
        <v>90680</v>
      </c>
      <c r="CB12" s="124">
        <f>[7]БУОР_стр.1_2!AD13</f>
        <v>111131.912650015</v>
      </c>
      <c r="CC12" s="277" t="str">
        <f>[7]Расчет_тарифа_стр.1_3!AK18</f>
        <v>х</v>
      </c>
      <c r="CD12" s="277" t="str">
        <f>[7]Расчет_тарифа_стр.1_3!AL18</f>
        <v>х</v>
      </c>
      <c r="CE12" s="124">
        <f>[7]БУОР_стр.1_2!AE13</f>
        <v>0</v>
      </c>
      <c r="CF12" s="124">
        <f t="shared" ref="CF12:CK12" si="48">CF13+CF14+CF16+CF17</f>
        <v>115243.80002017524</v>
      </c>
      <c r="CG12" s="124" t="s">
        <v>29</v>
      </c>
      <c r="CH12" s="124" t="s">
        <v>29</v>
      </c>
      <c r="CI12" s="124">
        <f t="shared" si="48"/>
        <v>128163.8935645578</v>
      </c>
      <c r="CJ12" s="124">
        <f t="shared" si="20"/>
        <v>12920.093544382558</v>
      </c>
      <c r="CK12" s="124">
        <f t="shared" si="48"/>
        <v>119507.8177609141</v>
      </c>
      <c r="CL12" s="124" t="s">
        <v>29</v>
      </c>
      <c r="CM12" s="124" t="s">
        <v>29</v>
      </c>
      <c r="CN12" s="124">
        <f t="shared" ref="CN12:CS12" si="49">CN13+CN14+CN16+CN17</f>
        <v>124567.43462000001</v>
      </c>
      <c r="CO12" s="124">
        <f t="shared" si="22"/>
        <v>5059.6168590859161</v>
      </c>
      <c r="CP12" s="124">
        <f t="shared" si="49"/>
        <v>123929.60535447544</v>
      </c>
      <c r="CQ12" s="124" t="s">
        <v>29</v>
      </c>
      <c r="CR12" s="124" t="s">
        <v>29</v>
      </c>
      <c r="CS12" s="124">
        <f t="shared" si="49"/>
        <v>128515.00075257802</v>
      </c>
      <c r="CT12" s="124" t="s">
        <v>29</v>
      </c>
      <c r="CU12" s="124" t="s">
        <v>29</v>
      </c>
      <c r="CV12" s="124">
        <f>CV13+CV14+CV16+CV17</f>
        <v>133270.0557804089</v>
      </c>
      <c r="CW12" s="124" t="s">
        <v>29</v>
      </c>
      <c r="CX12" s="124" t="s">
        <v>29</v>
      </c>
      <c r="CY12" s="277">
        <f t="shared" si="23"/>
        <v>133270.0557804089</v>
      </c>
      <c r="CZ12" s="124" t="s">
        <v>29</v>
      </c>
      <c r="DA12" s="124" t="s">
        <v>29</v>
      </c>
      <c r="DB12" s="277">
        <f t="shared" si="24"/>
        <v>133270.0557804089</v>
      </c>
      <c r="DC12" s="124" t="s">
        <v>29</v>
      </c>
      <c r="DD12" s="124" t="s">
        <v>29</v>
      </c>
      <c r="DE12" s="277">
        <f t="shared" si="25"/>
        <v>133270.0557804089</v>
      </c>
      <c r="DF12" s="124" t="s">
        <v>29</v>
      </c>
      <c r="DG12" s="124" t="s">
        <v>29</v>
      </c>
      <c r="DH12" s="277">
        <f t="shared" si="26"/>
        <v>133270.0557804089</v>
      </c>
      <c r="DI12" s="124" t="s">
        <v>29</v>
      </c>
      <c r="DJ12" s="124" t="s">
        <v>29</v>
      </c>
      <c r="DK12" s="277">
        <f t="shared" si="27"/>
        <v>133270.0557804089</v>
      </c>
      <c r="DL12" s="124" t="s">
        <v>29</v>
      </c>
      <c r="DM12" s="124" t="s">
        <v>29</v>
      </c>
      <c r="DN12" s="277">
        <f t="shared" si="28"/>
        <v>133270.0557804089</v>
      </c>
      <c r="DO12" s="124" t="s">
        <v>29</v>
      </c>
      <c r="DP12" s="124" t="s">
        <v>29</v>
      </c>
      <c r="DQ12" s="277">
        <f t="shared" si="29"/>
        <v>133270.0557804089</v>
      </c>
      <c r="DR12" s="124" t="s">
        <v>29</v>
      </c>
      <c r="DS12" s="124" t="s">
        <v>29</v>
      </c>
      <c r="DT12" s="277">
        <f t="shared" si="30"/>
        <v>133270.0557804089</v>
      </c>
      <c r="DU12" s="124" t="s">
        <v>29</v>
      </c>
      <c r="DV12" s="124" t="s">
        <v>29</v>
      </c>
      <c r="DW12" s="277">
        <f t="shared" si="31"/>
        <v>133270.0557804089</v>
      </c>
      <c r="DX12" s="124" t="s">
        <v>29</v>
      </c>
      <c r="DY12" s="124" t="s">
        <v>29</v>
      </c>
      <c r="DZ12" s="277">
        <f t="shared" si="32"/>
        <v>133270.0557804089</v>
      </c>
      <c r="EA12" s="124" t="s">
        <v>29</v>
      </c>
      <c r="EB12" s="124" t="s">
        <v>29</v>
      </c>
      <c r="EC12" s="277">
        <f t="shared" si="33"/>
        <v>133270.0557804089</v>
      </c>
      <c r="ED12" s="124" t="s">
        <v>29</v>
      </c>
      <c r="EE12" s="124" t="s">
        <v>29</v>
      </c>
      <c r="EF12" s="277">
        <f t="shared" si="34"/>
        <v>133270.0557804089</v>
      </c>
      <c r="EG12" s="124" t="s">
        <v>29</v>
      </c>
      <c r="EH12" s="124" t="s">
        <v>29</v>
      </c>
      <c r="EI12" s="277">
        <f t="shared" si="35"/>
        <v>133270.0557804089</v>
      </c>
      <c r="EJ12" s="124" t="s">
        <v>29</v>
      </c>
      <c r="EK12" s="124" t="s">
        <v>29</v>
      </c>
      <c r="EL12" s="277">
        <f t="shared" si="36"/>
        <v>133270.0557804089</v>
      </c>
      <c r="EM12" s="124" t="s">
        <v>29</v>
      </c>
      <c r="EN12" s="124" t="s">
        <v>29</v>
      </c>
      <c r="EO12" s="277">
        <f t="shared" si="37"/>
        <v>133270.0557804089</v>
      </c>
      <c r="EP12" s="124" t="s">
        <v>29</v>
      </c>
      <c r="EQ12" s="124" t="s">
        <v>29</v>
      </c>
    </row>
    <row r="13" spans="1:149" ht="30">
      <c r="A13" s="125" t="s">
        <v>355</v>
      </c>
      <c r="B13" s="126" t="s">
        <v>356</v>
      </c>
      <c r="C13" s="122" t="s">
        <v>349</v>
      </c>
      <c r="D13" s="124">
        <f>[7]БУОР_стр.1_2!D14</f>
        <v>10863.825256247401</v>
      </c>
      <c r="E13" s="124" t="s">
        <v>29</v>
      </c>
      <c r="F13" s="124" t="s">
        <v>29</v>
      </c>
      <c r="G13" s="124">
        <f>[7]БУОР_стр.1_2!E14</f>
        <v>13486</v>
      </c>
      <c r="H13" s="124">
        <f>[7]БУОР_стр.1_2!F14</f>
        <v>11551.0708419576</v>
      </c>
      <c r="I13" s="124" t="s">
        <v>29</v>
      </c>
      <c r="J13" s="124" t="s">
        <v>29</v>
      </c>
      <c r="K13" s="124">
        <f>[7]БУОР_стр.1_2!G14</f>
        <v>0</v>
      </c>
      <c r="L13" s="124">
        <v>11978.463733423199</v>
      </c>
      <c r="M13" s="124" t="s">
        <v>29</v>
      </c>
      <c r="N13" s="124" t="s">
        <v>29</v>
      </c>
      <c r="O13" s="124">
        <v>12036.478940000001</v>
      </c>
      <c r="P13" s="124">
        <f t="shared" si="1"/>
        <v>58.015206576801575</v>
      </c>
      <c r="Q13" s="124">
        <v>12421.666891551</v>
      </c>
      <c r="R13" s="124" t="s">
        <v>29</v>
      </c>
      <c r="S13" s="124" t="s">
        <v>29</v>
      </c>
      <c r="T13" s="124">
        <v>12907.406279999999</v>
      </c>
      <c r="U13" s="124">
        <f t="shared" si="3"/>
        <v>485.73938844899931</v>
      </c>
      <c r="V13" s="124">
        <v>12881.268566529199</v>
      </c>
      <c r="W13" s="124" t="s">
        <v>29</v>
      </c>
      <c r="X13" s="124" t="s">
        <v>29</v>
      </c>
      <c r="Y13" s="124">
        <v>13357.8755034812</v>
      </c>
      <c r="Z13" s="124" t="s">
        <v>29</v>
      </c>
      <c r="AA13" s="124" t="s">
        <v>29</v>
      </c>
      <c r="AB13" s="124">
        <v>13852.116897100101</v>
      </c>
      <c r="AC13" s="124" t="s">
        <v>29</v>
      </c>
      <c r="AD13" s="124" t="s">
        <v>29</v>
      </c>
      <c r="AE13" s="124">
        <f t="shared" si="4"/>
        <v>13852.116897100101</v>
      </c>
      <c r="AF13" s="124" t="s">
        <v>29</v>
      </c>
      <c r="AG13" s="124" t="s">
        <v>29</v>
      </c>
      <c r="AH13" s="124">
        <f t="shared" si="5"/>
        <v>13852.116897100101</v>
      </c>
      <c r="AI13" s="124" t="s">
        <v>29</v>
      </c>
      <c r="AJ13" s="124" t="s">
        <v>29</v>
      </c>
      <c r="AK13" s="124">
        <f t="shared" si="6"/>
        <v>13852.116897100101</v>
      </c>
      <c r="AL13" s="124" t="s">
        <v>29</v>
      </c>
      <c r="AM13" s="124" t="s">
        <v>29</v>
      </c>
      <c r="AN13" s="124">
        <f t="shared" si="7"/>
        <v>13852.116897100101</v>
      </c>
      <c r="AO13" s="124" t="s">
        <v>29</v>
      </c>
      <c r="AP13" s="124" t="s">
        <v>29</v>
      </c>
      <c r="AQ13" s="124">
        <f t="shared" si="8"/>
        <v>13852.116897100101</v>
      </c>
      <c r="AR13" s="124" t="s">
        <v>29</v>
      </c>
      <c r="AS13" s="124" t="s">
        <v>29</v>
      </c>
      <c r="AT13" s="124">
        <f t="shared" si="9"/>
        <v>13852.116897100101</v>
      </c>
      <c r="AU13" s="124" t="s">
        <v>29</v>
      </c>
      <c r="AV13" s="124" t="s">
        <v>29</v>
      </c>
      <c r="AW13" s="124">
        <f t="shared" si="10"/>
        <v>13852.116897100101</v>
      </c>
      <c r="AX13" s="124" t="s">
        <v>29</v>
      </c>
      <c r="AY13" s="124" t="s">
        <v>29</v>
      </c>
      <c r="AZ13" s="124">
        <f t="shared" si="11"/>
        <v>13852.116897100101</v>
      </c>
      <c r="BA13" s="124" t="s">
        <v>29</v>
      </c>
      <c r="BB13" s="124" t="s">
        <v>29</v>
      </c>
      <c r="BC13" s="124">
        <f t="shared" si="12"/>
        <v>13852.116897100101</v>
      </c>
      <c r="BD13" s="124" t="s">
        <v>29</v>
      </c>
      <c r="BE13" s="124" t="s">
        <v>29</v>
      </c>
      <c r="BF13" s="124">
        <f t="shared" si="13"/>
        <v>13852.116897100101</v>
      </c>
      <c r="BG13" s="124" t="s">
        <v>29</v>
      </c>
      <c r="BH13" s="124" t="s">
        <v>29</v>
      </c>
      <c r="BI13" s="124">
        <f t="shared" si="14"/>
        <v>13852.116897100101</v>
      </c>
      <c r="BJ13" s="124" t="s">
        <v>29</v>
      </c>
      <c r="BK13" s="124" t="s">
        <v>29</v>
      </c>
      <c r="BL13" s="124">
        <f t="shared" si="15"/>
        <v>13852.116897100101</v>
      </c>
      <c r="BM13" s="124" t="s">
        <v>29</v>
      </c>
      <c r="BN13" s="124" t="s">
        <v>29</v>
      </c>
      <c r="BO13" s="124">
        <f t="shared" si="16"/>
        <v>13852.116897100101</v>
      </c>
      <c r="BP13" s="124" t="s">
        <v>29</v>
      </c>
      <c r="BQ13" s="124" t="s">
        <v>29</v>
      </c>
      <c r="BR13" s="124">
        <f t="shared" si="17"/>
        <v>13852.116897100101</v>
      </c>
      <c r="BS13" s="124" t="s">
        <v>29</v>
      </c>
      <c r="BT13" s="124" t="s">
        <v>29</v>
      </c>
      <c r="BU13" s="124">
        <f t="shared" si="18"/>
        <v>13852.116897100101</v>
      </c>
      <c r="BV13" s="124" t="s">
        <v>29</v>
      </c>
      <c r="BW13" s="124" t="s">
        <v>29</v>
      </c>
      <c r="BX13" s="124">
        <f>[7]БУОР_стр.1_2!AB14</f>
        <v>5850.5097657832202</v>
      </c>
      <c r="BY13" s="277" t="str">
        <f>[7]Расчет_тарифа_стр.1_3!AG19</f>
        <v>х</v>
      </c>
      <c r="BZ13" s="277" t="str">
        <f>[7]Расчет_тарифа_стр.1_3!AH19</f>
        <v>х</v>
      </c>
      <c r="CA13" s="124">
        <f>[7]БУОР_стр.1_2!AC14</f>
        <v>10506</v>
      </c>
      <c r="CB13" s="124">
        <f>[7]БУОР_стр.1_2!AD14</f>
        <v>6220.6130135666699</v>
      </c>
      <c r="CC13" s="277" t="str">
        <f>[7]Расчет_тарифа_стр.1_3!AK19</f>
        <v>х</v>
      </c>
      <c r="CD13" s="277" t="str">
        <f>[7]Расчет_тарифа_стр.1_3!AL19</f>
        <v>х</v>
      </c>
      <c r="CE13" s="124">
        <f>[7]БУОР_стр.1_2!AE14</f>
        <v>0</v>
      </c>
      <c r="CF13" s="124">
        <v>6450.78</v>
      </c>
      <c r="CG13" s="124" t="s">
        <v>29</v>
      </c>
      <c r="CH13" s="124" t="s">
        <v>29</v>
      </c>
      <c r="CI13" s="124">
        <v>8913.8690000000006</v>
      </c>
      <c r="CJ13" s="124">
        <f t="shared" si="20"/>
        <v>2463.0890000000009</v>
      </c>
      <c r="CK13" s="124">
        <v>6689.4560000000001</v>
      </c>
      <c r="CL13" s="124" t="s">
        <v>29</v>
      </c>
      <c r="CM13" s="124" t="s">
        <v>29</v>
      </c>
      <c r="CN13" s="124">
        <v>9794.0945900000006</v>
      </c>
      <c r="CO13" s="124">
        <f t="shared" si="22"/>
        <v>3104.6385900000005</v>
      </c>
      <c r="CP13" s="124">
        <v>6936.9642084154002</v>
      </c>
      <c r="CQ13" s="124" t="s">
        <v>29</v>
      </c>
      <c r="CR13" s="124" t="s">
        <v>29</v>
      </c>
      <c r="CS13" s="124">
        <v>7193.6318841216298</v>
      </c>
      <c r="CT13" s="124" t="s">
        <v>29</v>
      </c>
      <c r="CU13" s="124" t="s">
        <v>29</v>
      </c>
      <c r="CV13" s="124">
        <v>7459.7962638288</v>
      </c>
      <c r="CW13" s="124" t="s">
        <v>29</v>
      </c>
      <c r="CX13" s="124" t="s">
        <v>29</v>
      </c>
      <c r="CY13" s="277">
        <f t="shared" si="23"/>
        <v>7459.7962638288</v>
      </c>
      <c r="CZ13" s="124" t="s">
        <v>29</v>
      </c>
      <c r="DA13" s="124" t="s">
        <v>29</v>
      </c>
      <c r="DB13" s="277">
        <f t="shared" si="24"/>
        <v>7459.7962638288</v>
      </c>
      <c r="DC13" s="124" t="s">
        <v>29</v>
      </c>
      <c r="DD13" s="124" t="s">
        <v>29</v>
      </c>
      <c r="DE13" s="277">
        <f t="shared" si="25"/>
        <v>7459.7962638288</v>
      </c>
      <c r="DF13" s="124" t="s">
        <v>29</v>
      </c>
      <c r="DG13" s="124" t="s">
        <v>29</v>
      </c>
      <c r="DH13" s="277">
        <f t="shared" si="26"/>
        <v>7459.7962638288</v>
      </c>
      <c r="DI13" s="124" t="s">
        <v>29</v>
      </c>
      <c r="DJ13" s="124" t="s">
        <v>29</v>
      </c>
      <c r="DK13" s="277">
        <f t="shared" si="27"/>
        <v>7459.7962638288</v>
      </c>
      <c r="DL13" s="124" t="s">
        <v>29</v>
      </c>
      <c r="DM13" s="124" t="s">
        <v>29</v>
      </c>
      <c r="DN13" s="277">
        <f t="shared" si="28"/>
        <v>7459.7962638288</v>
      </c>
      <c r="DO13" s="124" t="s">
        <v>29</v>
      </c>
      <c r="DP13" s="124" t="s">
        <v>29</v>
      </c>
      <c r="DQ13" s="277">
        <f t="shared" si="29"/>
        <v>7459.7962638288</v>
      </c>
      <c r="DR13" s="124" t="s">
        <v>29</v>
      </c>
      <c r="DS13" s="124" t="s">
        <v>29</v>
      </c>
      <c r="DT13" s="277">
        <f t="shared" si="30"/>
        <v>7459.7962638288</v>
      </c>
      <c r="DU13" s="124" t="s">
        <v>29</v>
      </c>
      <c r="DV13" s="124" t="s">
        <v>29</v>
      </c>
      <c r="DW13" s="277">
        <f t="shared" si="31"/>
        <v>7459.7962638288</v>
      </c>
      <c r="DX13" s="124" t="s">
        <v>29</v>
      </c>
      <c r="DY13" s="124" t="s">
        <v>29</v>
      </c>
      <c r="DZ13" s="277">
        <f t="shared" si="32"/>
        <v>7459.7962638288</v>
      </c>
      <c r="EA13" s="124" t="s">
        <v>29</v>
      </c>
      <c r="EB13" s="124" t="s">
        <v>29</v>
      </c>
      <c r="EC13" s="277">
        <f t="shared" si="33"/>
        <v>7459.7962638288</v>
      </c>
      <c r="ED13" s="124" t="s">
        <v>29</v>
      </c>
      <c r="EE13" s="124" t="s">
        <v>29</v>
      </c>
      <c r="EF13" s="277">
        <f t="shared" si="34"/>
        <v>7459.7962638288</v>
      </c>
      <c r="EG13" s="124" t="s">
        <v>29</v>
      </c>
      <c r="EH13" s="124" t="s">
        <v>29</v>
      </c>
      <c r="EI13" s="277">
        <f t="shared" si="35"/>
        <v>7459.7962638288</v>
      </c>
      <c r="EJ13" s="124" t="s">
        <v>29</v>
      </c>
      <c r="EK13" s="124" t="s">
        <v>29</v>
      </c>
      <c r="EL13" s="277">
        <f t="shared" si="36"/>
        <v>7459.7962638288</v>
      </c>
      <c r="EM13" s="124" t="s">
        <v>29</v>
      </c>
      <c r="EN13" s="124" t="s">
        <v>29</v>
      </c>
      <c r="EO13" s="277">
        <f t="shared" si="37"/>
        <v>7459.7962638288</v>
      </c>
      <c r="EP13" s="124" t="s">
        <v>29</v>
      </c>
      <c r="EQ13" s="124" t="s">
        <v>29</v>
      </c>
    </row>
    <row r="14" spans="1:149" ht="75">
      <c r="A14" s="125" t="s">
        <v>357</v>
      </c>
      <c r="B14" s="126" t="s">
        <v>358</v>
      </c>
      <c r="C14" s="122" t="s">
        <v>349</v>
      </c>
      <c r="D14" s="124">
        <f>[7]БУОР_стр.1_2!D16</f>
        <v>72512.601421173895</v>
      </c>
      <c r="E14" s="124" t="s">
        <v>29</v>
      </c>
      <c r="F14" s="124" t="s">
        <v>29</v>
      </c>
      <c r="G14" s="124">
        <f>[7]БУОР_стр.1_2!E16</f>
        <v>42542</v>
      </c>
      <c r="H14" s="124">
        <f>[7]БУОР_стр.1_2!F16</f>
        <v>77095.482579766307</v>
      </c>
      <c r="I14" s="124" t="s">
        <v>29</v>
      </c>
      <c r="J14" s="124" t="s">
        <v>29</v>
      </c>
      <c r="K14" s="124">
        <f>[7]БУОР_стр.1_2!G16</f>
        <v>0</v>
      </c>
      <c r="L14" s="124">
        <v>79949.795762999303</v>
      </c>
      <c r="M14" s="124" t="s">
        <v>29</v>
      </c>
      <c r="N14" s="124" t="s">
        <v>29</v>
      </c>
      <c r="O14" s="124">
        <v>89473.973482980495</v>
      </c>
      <c r="P14" s="124">
        <f t="shared" si="1"/>
        <v>9524.1777199811913</v>
      </c>
      <c r="Q14" s="124">
        <v>82907.938206230305</v>
      </c>
      <c r="R14" s="124" t="s">
        <v>29</v>
      </c>
      <c r="S14" s="124" t="s">
        <v>29</v>
      </c>
      <c r="T14" s="124">
        <v>94678.507970384497</v>
      </c>
      <c r="U14" s="124">
        <f t="shared" si="3"/>
        <v>11770.569764154192</v>
      </c>
      <c r="V14" s="124">
        <v>85975.531919860805</v>
      </c>
      <c r="W14" s="124" t="s">
        <v>29</v>
      </c>
      <c r="X14" s="124" t="s">
        <v>29</v>
      </c>
      <c r="Y14" s="124">
        <v>89156.626600895601</v>
      </c>
      <c r="Z14" s="124" t="s">
        <v>29</v>
      </c>
      <c r="AA14" s="124" t="s">
        <v>29</v>
      </c>
      <c r="AB14" s="124">
        <v>92455.421785128798</v>
      </c>
      <c r="AC14" s="124" t="s">
        <v>29</v>
      </c>
      <c r="AD14" s="124" t="s">
        <v>29</v>
      </c>
      <c r="AE14" s="124">
        <f t="shared" si="4"/>
        <v>92455.421785128798</v>
      </c>
      <c r="AF14" s="124" t="s">
        <v>29</v>
      </c>
      <c r="AG14" s="124" t="s">
        <v>29</v>
      </c>
      <c r="AH14" s="124">
        <f t="shared" si="5"/>
        <v>92455.421785128798</v>
      </c>
      <c r="AI14" s="124" t="s">
        <v>29</v>
      </c>
      <c r="AJ14" s="124" t="s">
        <v>29</v>
      </c>
      <c r="AK14" s="124">
        <f t="shared" si="6"/>
        <v>92455.421785128798</v>
      </c>
      <c r="AL14" s="124" t="s">
        <v>29</v>
      </c>
      <c r="AM14" s="124" t="s">
        <v>29</v>
      </c>
      <c r="AN14" s="124">
        <f t="shared" si="7"/>
        <v>92455.421785128798</v>
      </c>
      <c r="AO14" s="124" t="s">
        <v>29</v>
      </c>
      <c r="AP14" s="124" t="s">
        <v>29</v>
      </c>
      <c r="AQ14" s="124">
        <f t="shared" si="8"/>
        <v>92455.421785128798</v>
      </c>
      <c r="AR14" s="124" t="s">
        <v>29</v>
      </c>
      <c r="AS14" s="124" t="s">
        <v>29</v>
      </c>
      <c r="AT14" s="124">
        <f t="shared" si="9"/>
        <v>92455.421785128798</v>
      </c>
      <c r="AU14" s="124" t="s">
        <v>29</v>
      </c>
      <c r="AV14" s="124" t="s">
        <v>29</v>
      </c>
      <c r="AW14" s="124">
        <f t="shared" si="10"/>
        <v>92455.421785128798</v>
      </c>
      <c r="AX14" s="124" t="s">
        <v>29</v>
      </c>
      <c r="AY14" s="124" t="s">
        <v>29</v>
      </c>
      <c r="AZ14" s="124">
        <f t="shared" si="11"/>
        <v>92455.421785128798</v>
      </c>
      <c r="BA14" s="124" t="s">
        <v>29</v>
      </c>
      <c r="BB14" s="124" t="s">
        <v>29</v>
      </c>
      <c r="BC14" s="124">
        <f t="shared" si="12"/>
        <v>92455.421785128798</v>
      </c>
      <c r="BD14" s="124" t="s">
        <v>29</v>
      </c>
      <c r="BE14" s="124" t="s">
        <v>29</v>
      </c>
      <c r="BF14" s="124">
        <f t="shared" si="13"/>
        <v>92455.421785128798</v>
      </c>
      <c r="BG14" s="124" t="s">
        <v>29</v>
      </c>
      <c r="BH14" s="124" t="s">
        <v>29</v>
      </c>
      <c r="BI14" s="124">
        <f t="shared" si="14"/>
        <v>92455.421785128798</v>
      </c>
      <c r="BJ14" s="124" t="s">
        <v>29</v>
      </c>
      <c r="BK14" s="124" t="s">
        <v>29</v>
      </c>
      <c r="BL14" s="124">
        <f t="shared" si="15"/>
        <v>92455.421785128798</v>
      </c>
      <c r="BM14" s="124" t="s">
        <v>29</v>
      </c>
      <c r="BN14" s="124" t="s">
        <v>29</v>
      </c>
      <c r="BO14" s="124">
        <f t="shared" si="16"/>
        <v>92455.421785128798</v>
      </c>
      <c r="BP14" s="124" t="s">
        <v>29</v>
      </c>
      <c r="BQ14" s="124" t="s">
        <v>29</v>
      </c>
      <c r="BR14" s="124">
        <f t="shared" si="17"/>
        <v>92455.421785128798</v>
      </c>
      <c r="BS14" s="124" t="s">
        <v>29</v>
      </c>
      <c r="BT14" s="124" t="s">
        <v>29</v>
      </c>
      <c r="BU14" s="124">
        <f t="shared" si="18"/>
        <v>92455.421785128798</v>
      </c>
      <c r="BV14" s="124" t="s">
        <v>29</v>
      </c>
      <c r="BW14" s="124" t="s">
        <v>29</v>
      </c>
      <c r="BX14" s="124">
        <f>[7]БУОР_стр.1_2!AB16</f>
        <v>89862.673453906798</v>
      </c>
      <c r="BY14" s="277" t="str">
        <f>[7]Расчет_тарифа_стр.1_3!AG20</f>
        <v>х</v>
      </c>
      <c r="BZ14" s="277" t="str">
        <f>[7]Расчет_тарифа_стр.1_3!AH20</f>
        <v>х</v>
      </c>
      <c r="CA14" s="124">
        <f>[7]БУОР_стр.1_2!AC16</f>
        <v>59425</v>
      </c>
      <c r="CB14" s="124">
        <f>[7]БУОР_стр.1_2!AD16</f>
        <v>94958.0038841559</v>
      </c>
      <c r="CC14" s="277" t="str">
        <f>[7]Расчет_тарифа_стр.1_3!AK20</f>
        <v>х</v>
      </c>
      <c r="CD14" s="277" t="str">
        <f>[7]Расчет_тарифа_стр.1_3!AL20</f>
        <v>х</v>
      </c>
      <c r="CE14" s="124">
        <f>[7]БУОР_стр.1_2!AE16</f>
        <v>0</v>
      </c>
      <c r="CF14" s="124">
        <v>98471.449661783001</v>
      </c>
      <c r="CG14" s="124" t="s">
        <v>29</v>
      </c>
      <c r="CH14" s="124" t="s">
        <v>29</v>
      </c>
      <c r="CI14" s="124">
        <v>96232.370068405697</v>
      </c>
      <c r="CJ14" s="124">
        <f t="shared" si="20"/>
        <v>-2239.0795933773043</v>
      </c>
      <c r="CK14" s="124">
        <v>102114.893299269</v>
      </c>
      <c r="CL14" s="124" t="s">
        <v>29</v>
      </c>
      <c r="CM14" s="124" t="s">
        <v>29</v>
      </c>
      <c r="CN14" s="124">
        <v>86505.635070000004</v>
      </c>
      <c r="CO14" s="124">
        <f t="shared" si="22"/>
        <v>-15609.258229268991</v>
      </c>
      <c r="CP14" s="124">
        <v>105893.14435134199</v>
      </c>
      <c r="CQ14" s="124" t="s">
        <v>29</v>
      </c>
      <c r="CR14" s="124" t="s">
        <v>29</v>
      </c>
      <c r="CS14" s="124">
        <v>109811.190692342</v>
      </c>
      <c r="CT14" s="124" t="s">
        <v>29</v>
      </c>
      <c r="CU14" s="124" t="s">
        <v>29</v>
      </c>
      <c r="CV14" s="124">
        <v>113874.20474795801</v>
      </c>
      <c r="CW14" s="124" t="s">
        <v>29</v>
      </c>
      <c r="CX14" s="124" t="s">
        <v>29</v>
      </c>
      <c r="CY14" s="277">
        <f t="shared" si="23"/>
        <v>113874.20474795801</v>
      </c>
      <c r="CZ14" s="124" t="s">
        <v>29</v>
      </c>
      <c r="DA14" s="124" t="s">
        <v>29</v>
      </c>
      <c r="DB14" s="277">
        <f t="shared" si="24"/>
        <v>113874.20474795801</v>
      </c>
      <c r="DC14" s="124" t="s">
        <v>29</v>
      </c>
      <c r="DD14" s="124" t="s">
        <v>29</v>
      </c>
      <c r="DE14" s="277">
        <f t="shared" si="25"/>
        <v>113874.20474795801</v>
      </c>
      <c r="DF14" s="124" t="s">
        <v>29</v>
      </c>
      <c r="DG14" s="124" t="s">
        <v>29</v>
      </c>
      <c r="DH14" s="277">
        <f t="shared" si="26"/>
        <v>113874.20474795801</v>
      </c>
      <c r="DI14" s="124" t="s">
        <v>29</v>
      </c>
      <c r="DJ14" s="124" t="s">
        <v>29</v>
      </c>
      <c r="DK14" s="277">
        <f t="shared" si="27"/>
        <v>113874.20474795801</v>
      </c>
      <c r="DL14" s="124" t="s">
        <v>29</v>
      </c>
      <c r="DM14" s="124" t="s">
        <v>29</v>
      </c>
      <c r="DN14" s="277">
        <f t="shared" si="28"/>
        <v>113874.20474795801</v>
      </c>
      <c r="DO14" s="124" t="s">
        <v>29</v>
      </c>
      <c r="DP14" s="124" t="s">
        <v>29</v>
      </c>
      <c r="DQ14" s="277">
        <f t="shared" si="29"/>
        <v>113874.20474795801</v>
      </c>
      <c r="DR14" s="124" t="s">
        <v>29</v>
      </c>
      <c r="DS14" s="124" t="s">
        <v>29</v>
      </c>
      <c r="DT14" s="277">
        <f t="shared" si="30"/>
        <v>113874.20474795801</v>
      </c>
      <c r="DU14" s="124" t="s">
        <v>29</v>
      </c>
      <c r="DV14" s="124" t="s">
        <v>29</v>
      </c>
      <c r="DW14" s="277">
        <f t="shared" si="31"/>
        <v>113874.20474795801</v>
      </c>
      <c r="DX14" s="124" t="s">
        <v>29</v>
      </c>
      <c r="DY14" s="124" t="s">
        <v>29</v>
      </c>
      <c r="DZ14" s="277">
        <f t="shared" si="32"/>
        <v>113874.20474795801</v>
      </c>
      <c r="EA14" s="124" t="s">
        <v>29</v>
      </c>
      <c r="EB14" s="124" t="s">
        <v>29</v>
      </c>
      <c r="EC14" s="277">
        <f t="shared" si="33"/>
        <v>113874.20474795801</v>
      </c>
      <c r="ED14" s="124" t="s">
        <v>29</v>
      </c>
      <c r="EE14" s="124" t="s">
        <v>29</v>
      </c>
      <c r="EF14" s="277">
        <f t="shared" si="34"/>
        <v>113874.20474795801</v>
      </c>
      <c r="EG14" s="124" t="s">
        <v>29</v>
      </c>
      <c r="EH14" s="124" t="s">
        <v>29</v>
      </c>
      <c r="EI14" s="277">
        <f t="shared" si="35"/>
        <v>113874.20474795801</v>
      </c>
      <c r="EJ14" s="124" t="s">
        <v>29</v>
      </c>
      <c r="EK14" s="124" t="s">
        <v>29</v>
      </c>
      <c r="EL14" s="277">
        <f t="shared" si="36"/>
        <v>113874.20474795801</v>
      </c>
      <c r="EM14" s="124" t="s">
        <v>29</v>
      </c>
      <c r="EN14" s="124" t="s">
        <v>29</v>
      </c>
      <c r="EO14" s="277">
        <f t="shared" si="37"/>
        <v>113874.20474795801</v>
      </c>
      <c r="EP14" s="124" t="s">
        <v>29</v>
      </c>
      <c r="EQ14" s="124" t="s">
        <v>29</v>
      </c>
    </row>
    <row r="15" spans="1:149" ht="30">
      <c r="A15" s="125" t="s">
        <v>359</v>
      </c>
      <c r="B15" s="126" t="s">
        <v>360</v>
      </c>
      <c r="C15" s="122" t="s">
        <v>349</v>
      </c>
      <c r="D15" s="124">
        <f>[7]БУОР_стр.1_2!D17</f>
        <v>16819.359162207798</v>
      </c>
      <c r="E15" s="124" t="s">
        <v>29</v>
      </c>
      <c r="F15" s="124" t="s">
        <v>29</v>
      </c>
      <c r="G15" s="124">
        <f>[7]БУОР_стр.1_2!E17</f>
        <v>9567</v>
      </c>
      <c r="H15" s="124">
        <f>[7]БУОР_стр.1_2!F17</f>
        <v>17882.362318809101</v>
      </c>
      <c r="I15" s="124" t="s">
        <v>29</v>
      </c>
      <c r="J15" s="124" t="s">
        <v>29</v>
      </c>
      <c r="K15" s="124">
        <f>[7]БУОР_стр.1_2!G17</f>
        <v>0</v>
      </c>
      <c r="L15" s="124">
        <v>18544.423358075601</v>
      </c>
      <c r="M15" s="124" t="s">
        <v>29</v>
      </c>
      <c r="N15" s="124" t="s">
        <v>29</v>
      </c>
      <c r="O15" s="124">
        <v>20340.347839999999</v>
      </c>
      <c r="P15" s="124">
        <f t="shared" si="1"/>
        <v>1795.9244819243977</v>
      </c>
      <c r="Q15" s="124">
        <v>19230.567022324401</v>
      </c>
      <c r="R15" s="124" t="s">
        <v>29</v>
      </c>
      <c r="S15" s="124" t="s">
        <v>29</v>
      </c>
      <c r="T15" s="124">
        <v>21662.293900000001</v>
      </c>
      <c r="U15" s="124">
        <f t="shared" si="3"/>
        <v>2431.7268776755991</v>
      </c>
      <c r="V15" s="124">
        <v>19942.0980021504</v>
      </c>
      <c r="W15" s="124" t="s">
        <v>29</v>
      </c>
      <c r="X15" s="124" t="s">
        <v>29</v>
      </c>
      <c r="Y15" s="124">
        <v>20679.95562823</v>
      </c>
      <c r="Z15" s="124" t="s">
        <v>29</v>
      </c>
      <c r="AA15" s="124" t="s">
        <v>29</v>
      </c>
      <c r="AB15" s="124">
        <v>21445.113986474498</v>
      </c>
      <c r="AC15" s="124" t="s">
        <v>29</v>
      </c>
      <c r="AD15" s="124" t="s">
        <v>29</v>
      </c>
      <c r="AE15" s="124">
        <f t="shared" si="4"/>
        <v>21445.113986474498</v>
      </c>
      <c r="AF15" s="124" t="s">
        <v>29</v>
      </c>
      <c r="AG15" s="124" t="s">
        <v>29</v>
      </c>
      <c r="AH15" s="124">
        <f t="shared" si="5"/>
        <v>21445.113986474498</v>
      </c>
      <c r="AI15" s="124" t="s">
        <v>29</v>
      </c>
      <c r="AJ15" s="124" t="s">
        <v>29</v>
      </c>
      <c r="AK15" s="124">
        <f t="shared" si="6"/>
        <v>21445.113986474498</v>
      </c>
      <c r="AL15" s="124" t="s">
        <v>29</v>
      </c>
      <c r="AM15" s="124" t="s">
        <v>29</v>
      </c>
      <c r="AN15" s="124">
        <f t="shared" si="7"/>
        <v>21445.113986474498</v>
      </c>
      <c r="AO15" s="124" t="s">
        <v>29</v>
      </c>
      <c r="AP15" s="124" t="s">
        <v>29</v>
      </c>
      <c r="AQ15" s="124">
        <f t="shared" si="8"/>
        <v>21445.113986474498</v>
      </c>
      <c r="AR15" s="124" t="s">
        <v>29</v>
      </c>
      <c r="AS15" s="124" t="s">
        <v>29</v>
      </c>
      <c r="AT15" s="124">
        <f t="shared" si="9"/>
        <v>21445.113986474498</v>
      </c>
      <c r="AU15" s="124" t="s">
        <v>29</v>
      </c>
      <c r="AV15" s="124" t="s">
        <v>29</v>
      </c>
      <c r="AW15" s="124">
        <f t="shared" si="10"/>
        <v>21445.113986474498</v>
      </c>
      <c r="AX15" s="124" t="s">
        <v>29</v>
      </c>
      <c r="AY15" s="124" t="s">
        <v>29</v>
      </c>
      <c r="AZ15" s="124">
        <f t="shared" si="11"/>
        <v>21445.113986474498</v>
      </c>
      <c r="BA15" s="124" t="s">
        <v>29</v>
      </c>
      <c r="BB15" s="124" t="s">
        <v>29</v>
      </c>
      <c r="BC15" s="124">
        <f t="shared" si="12"/>
        <v>21445.113986474498</v>
      </c>
      <c r="BD15" s="124" t="s">
        <v>29</v>
      </c>
      <c r="BE15" s="124" t="s">
        <v>29</v>
      </c>
      <c r="BF15" s="124">
        <f t="shared" si="13"/>
        <v>21445.113986474498</v>
      </c>
      <c r="BG15" s="124" t="s">
        <v>29</v>
      </c>
      <c r="BH15" s="124" t="s">
        <v>29</v>
      </c>
      <c r="BI15" s="124">
        <f t="shared" si="14"/>
        <v>21445.113986474498</v>
      </c>
      <c r="BJ15" s="124" t="s">
        <v>29</v>
      </c>
      <c r="BK15" s="124" t="s">
        <v>29</v>
      </c>
      <c r="BL15" s="124">
        <f t="shared" si="15"/>
        <v>21445.113986474498</v>
      </c>
      <c r="BM15" s="124" t="s">
        <v>29</v>
      </c>
      <c r="BN15" s="124" t="s">
        <v>29</v>
      </c>
      <c r="BO15" s="124">
        <f t="shared" si="16"/>
        <v>21445.113986474498</v>
      </c>
      <c r="BP15" s="124" t="s">
        <v>29</v>
      </c>
      <c r="BQ15" s="124" t="s">
        <v>29</v>
      </c>
      <c r="BR15" s="124">
        <f t="shared" si="17"/>
        <v>21445.113986474498</v>
      </c>
      <c r="BS15" s="124" t="s">
        <v>29</v>
      </c>
      <c r="BT15" s="124" t="s">
        <v>29</v>
      </c>
      <c r="BU15" s="124">
        <f t="shared" si="18"/>
        <v>21445.113986474498</v>
      </c>
      <c r="BV15" s="124" t="s">
        <v>29</v>
      </c>
      <c r="BW15" s="124" t="s">
        <v>29</v>
      </c>
      <c r="BX15" s="124">
        <f>[7]БУОР_стр.1_2!AB17</f>
        <v>20843.723028479199</v>
      </c>
      <c r="BY15" s="277" t="str">
        <f>[7]Расчет_тарифа_стр.1_3!AG21</f>
        <v>х</v>
      </c>
      <c r="BZ15" s="277" t="str">
        <f>[7]Расчет_тарифа_стр.1_3!AH21</f>
        <v>х</v>
      </c>
      <c r="CA15" s="124">
        <f>[7]БУОР_стр.1_2!AC17</f>
        <v>13474</v>
      </c>
      <c r="CB15" s="124">
        <f>[7]БУОР_стр.1_2!AD17</f>
        <v>22025.5892265861</v>
      </c>
      <c r="CC15" s="277" t="str">
        <f>[7]Расчет_тарифа_стр.1_3!AK21</f>
        <v>х</v>
      </c>
      <c r="CD15" s="277" t="str">
        <f>[7]Расчет_тарифа_стр.1_3!AL21</f>
        <v>х</v>
      </c>
      <c r="CE15" s="124">
        <f>[7]БУОР_стр.1_2!AE17</f>
        <v>0</v>
      </c>
      <c r="CF15" s="124">
        <v>22840.538427721502</v>
      </c>
      <c r="CG15" s="124" t="s">
        <v>29</v>
      </c>
      <c r="CH15" s="124" t="s">
        <v>29</v>
      </c>
      <c r="CI15" s="124">
        <v>21988.853719999999</v>
      </c>
      <c r="CJ15" s="124">
        <f t="shared" si="20"/>
        <v>-851.68470772150249</v>
      </c>
      <c r="CK15" s="124">
        <v>23685.6383495472</v>
      </c>
      <c r="CL15" s="124" t="s">
        <v>29</v>
      </c>
      <c r="CM15" s="124" t="s">
        <v>29</v>
      </c>
      <c r="CN15" s="124">
        <v>19530.859540000001</v>
      </c>
      <c r="CO15" s="124">
        <f t="shared" si="22"/>
        <v>-4154.7788095471988</v>
      </c>
      <c r="CP15" s="124">
        <v>24562.006968480498</v>
      </c>
      <c r="CQ15" s="124" t="s">
        <v>29</v>
      </c>
      <c r="CR15" s="124" t="s">
        <v>29</v>
      </c>
      <c r="CS15" s="124">
        <v>25470.801226314299</v>
      </c>
      <c r="CT15" s="124" t="s">
        <v>29</v>
      </c>
      <c r="CU15" s="124" t="s">
        <v>29</v>
      </c>
      <c r="CV15" s="124">
        <v>26413.220871687899</v>
      </c>
      <c r="CW15" s="124" t="s">
        <v>29</v>
      </c>
      <c r="CX15" s="124" t="s">
        <v>29</v>
      </c>
      <c r="CY15" s="277">
        <f t="shared" si="23"/>
        <v>26413.220871687899</v>
      </c>
      <c r="CZ15" s="124" t="s">
        <v>29</v>
      </c>
      <c r="DA15" s="124" t="s">
        <v>29</v>
      </c>
      <c r="DB15" s="277">
        <f t="shared" si="24"/>
        <v>26413.220871687899</v>
      </c>
      <c r="DC15" s="124" t="s">
        <v>29</v>
      </c>
      <c r="DD15" s="124" t="s">
        <v>29</v>
      </c>
      <c r="DE15" s="277">
        <f t="shared" si="25"/>
        <v>26413.220871687899</v>
      </c>
      <c r="DF15" s="124" t="s">
        <v>29</v>
      </c>
      <c r="DG15" s="124" t="s">
        <v>29</v>
      </c>
      <c r="DH15" s="277">
        <f t="shared" si="26"/>
        <v>26413.220871687899</v>
      </c>
      <c r="DI15" s="124" t="s">
        <v>29</v>
      </c>
      <c r="DJ15" s="124" t="s">
        <v>29</v>
      </c>
      <c r="DK15" s="277">
        <f t="shared" si="27"/>
        <v>26413.220871687899</v>
      </c>
      <c r="DL15" s="124" t="s">
        <v>29</v>
      </c>
      <c r="DM15" s="124" t="s">
        <v>29</v>
      </c>
      <c r="DN15" s="277">
        <f t="shared" si="28"/>
        <v>26413.220871687899</v>
      </c>
      <c r="DO15" s="124" t="s">
        <v>29</v>
      </c>
      <c r="DP15" s="124" t="s">
        <v>29</v>
      </c>
      <c r="DQ15" s="277">
        <f t="shared" si="29"/>
        <v>26413.220871687899</v>
      </c>
      <c r="DR15" s="124" t="s">
        <v>29</v>
      </c>
      <c r="DS15" s="124" t="s">
        <v>29</v>
      </c>
      <c r="DT15" s="277">
        <f t="shared" si="30"/>
        <v>26413.220871687899</v>
      </c>
      <c r="DU15" s="124" t="s">
        <v>29</v>
      </c>
      <c r="DV15" s="124" t="s">
        <v>29</v>
      </c>
      <c r="DW15" s="277">
        <f t="shared" si="31"/>
        <v>26413.220871687899</v>
      </c>
      <c r="DX15" s="124" t="s">
        <v>29</v>
      </c>
      <c r="DY15" s="124" t="s">
        <v>29</v>
      </c>
      <c r="DZ15" s="277">
        <f t="shared" si="32"/>
        <v>26413.220871687899</v>
      </c>
      <c r="EA15" s="124" t="s">
        <v>29</v>
      </c>
      <c r="EB15" s="124" t="s">
        <v>29</v>
      </c>
      <c r="EC15" s="277">
        <f t="shared" si="33"/>
        <v>26413.220871687899</v>
      </c>
      <c r="ED15" s="124" t="s">
        <v>29</v>
      </c>
      <c r="EE15" s="124" t="s">
        <v>29</v>
      </c>
      <c r="EF15" s="277">
        <f t="shared" si="34"/>
        <v>26413.220871687899</v>
      </c>
      <c r="EG15" s="124" t="s">
        <v>29</v>
      </c>
      <c r="EH15" s="124" t="s">
        <v>29</v>
      </c>
      <c r="EI15" s="277">
        <f t="shared" si="35"/>
        <v>26413.220871687899</v>
      </c>
      <c r="EJ15" s="124" t="s">
        <v>29</v>
      </c>
      <c r="EK15" s="124" t="s">
        <v>29</v>
      </c>
      <c r="EL15" s="277">
        <f t="shared" si="36"/>
        <v>26413.220871687899</v>
      </c>
      <c r="EM15" s="124" t="s">
        <v>29</v>
      </c>
      <c r="EN15" s="124" t="s">
        <v>29</v>
      </c>
      <c r="EO15" s="277">
        <f t="shared" si="37"/>
        <v>26413.220871687899</v>
      </c>
      <c r="EP15" s="124" t="s">
        <v>29</v>
      </c>
      <c r="EQ15" s="124" t="s">
        <v>29</v>
      </c>
    </row>
    <row r="16" spans="1:149">
      <c r="A16" s="125" t="s">
        <v>361</v>
      </c>
      <c r="B16" s="126" t="s">
        <v>362</v>
      </c>
      <c r="C16" s="122" t="s">
        <v>349</v>
      </c>
      <c r="D16" s="124">
        <f>[7]БУОР_стр.1_2!D19</f>
        <v>3345.55736844176</v>
      </c>
      <c r="E16" s="124" t="s">
        <v>29</v>
      </c>
      <c r="F16" s="124" t="s">
        <v>29</v>
      </c>
      <c r="G16" s="124">
        <f>[7]БУОР_стр.1_2!E19</f>
        <v>16718</v>
      </c>
      <c r="H16" s="124">
        <f>[7]БУОР_стр.1_2!F19</f>
        <v>3557.1973275693799</v>
      </c>
      <c r="I16" s="124" t="s">
        <v>29</v>
      </c>
      <c r="J16" s="124" t="s">
        <v>29</v>
      </c>
      <c r="K16" s="124">
        <f>[7]БУОР_стр.1_2!G19</f>
        <v>0</v>
      </c>
      <c r="L16" s="124">
        <v>3688.8155784891501</v>
      </c>
      <c r="M16" s="124" t="s">
        <v>29</v>
      </c>
      <c r="N16" s="124" t="s">
        <v>29</v>
      </c>
      <c r="O16" s="124">
        <v>18302.121077821001</v>
      </c>
      <c r="P16" s="124">
        <f t="shared" si="1"/>
        <v>14613.305499331851</v>
      </c>
      <c r="Q16" s="124">
        <v>3825.30175489051</v>
      </c>
      <c r="R16" s="124" t="s">
        <v>29</v>
      </c>
      <c r="S16" s="124" t="s">
        <v>29</v>
      </c>
      <c r="T16" s="124">
        <v>23846.57892</v>
      </c>
      <c r="U16" s="124">
        <f t="shared" si="3"/>
        <v>20021.277165109488</v>
      </c>
      <c r="V16" s="124">
        <v>3966.8379198186299</v>
      </c>
      <c r="W16" s="124" t="s">
        <v>29</v>
      </c>
      <c r="X16" s="124" t="s">
        <v>29</v>
      </c>
      <c r="Y16" s="124">
        <v>4113.6109228489804</v>
      </c>
      <c r="Z16" s="124" t="s">
        <v>29</v>
      </c>
      <c r="AA16" s="124" t="s">
        <v>29</v>
      </c>
      <c r="AB16" s="124">
        <v>4265.8145269913402</v>
      </c>
      <c r="AC16" s="124" t="s">
        <v>29</v>
      </c>
      <c r="AD16" s="124" t="s">
        <v>29</v>
      </c>
      <c r="AE16" s="124">
        <f t="shared" si="4"/>
        <v>4265.8145269913402</v>
      </c>
      <c r="AF16" s="124" t="s">
        <v>29</v>
      </c>
      <c r="AG16" s="124" t="s">
        <v>29</v>
      </c>
      <c r="AH16" s="124">
        <f t="shared" si="5"/>
        <v>4265.8145269913402</v>
      </c>
      <c r="AI16" s="124" t="s">
        <v>29</v>
      </c>
      <c r="AJ16" s="124" t="s">
        <v>29</v>
      </c>
      <c r="AK16" s="124">
        <f t="shared" si="6"/>
        <v>4265.8145269913402</v>
      </c>
      <c r="AL16" s="124" t="s">
        <v>29</v>
      </c>
      <c r="AM16" s="124" t="s">
        <v>29</v>
      </c>
      <c r="AN16" s="124">
        <f t="shared" si="7"/>
        <v>4265.8145269913402</v>
      </c>
      <c r="AO16" s="124" t="s">
        <v>29</v>
      </c>
      <c r="AP16" s="124" t="s">
        <v>29</v>
      </c>
      <c r="AQ16" s="124">
        <f t="shared" si="8"/>
        <v>4265.8145269913402</v>
      </c>
      <c r="AR16" s="124" t="s">
        <v>29</v>
      </c>
      <c r="AS16" s="124" t="s">
        <v>29</v>
      </c>
      <c r="AT16" s="124">
        <f t="shared" si="9"/>
        <v>4265.8145269913402</v>
      </c>
      <c r="AU16" s="124" t="s">
        <v>29</v>
      </c>
      <c r="AV16" s="124" t="s">
        <v>29</v>
      </c>
      <c r="AW16" s="124">
        <f t="shared" si="10"/>
        <v>4265.8145269913402</v>
      </c>
      <c r="AX16" s="124" t="s">
        <v>29</v>
      </c>
      <c r="AY16" s="124" t="s">
        <v>29</v>
      </c>
      <c r="AZ16" s="124">
        <f t="shared" si="11"/>
        <v>4265.8145269913402</v>
      </c>
      <c r="BA16" s="124" t="s">
        <v>29</v>
      </c>
      <c r="BB16" s="124" t="s">
        <v>29</v>
      </c>
      <c r="BC16" s="124">
        <f t="shared" si="12"/>
        <v>4265.8145269913402</v>
      </c>
      <c r="BD16" s="124" t="s">
        <v>29</v>
      </c>
      <c r="BE16" s="124" t="s">
        <v>29</v>
      </c>
      <c r="BF16" s="124">
        <f t="shared" si="13"/>
        <v>4265.8145269913402</v>
      </c>
      <c r="BG16" s="124" t="s">
        <v>29</v>
      </c>
      <c r="BH16" s="124" t="s">
        <v>29</v>
      </c>
      <c r="BI16" s="124">
        <f t="shared" si="14"/>
        <v>4265.8145269913402</v>
      </c>
      <c r="BJ16" s="124" t="s">
        <v>29</v>
      </c>
      <c r="BK16" s="124" t="s">
        <v>29</v>
      </c>
      <c r="BL16" s="124">
        <f t="shared" si="15"/>
        <v>4265.8145269913402</v>
      </c>
      <c r="BM16" s="124" t="s">
        <v>29</v>
      </c>
      <c r="BN16" s="124" t="s">
        <v>29</v>
      </c>
      <c r="BO16" s="124">
        <f t="shared" si="16"/>
        <v>4265.8145269913402</v>
      </c>
      <c r="BP16" s="124" t="s">
        <v>29</v>
      </c>
      <c r="BQ16" s="124" t="s">
        <v>29</v>
      </c>
      <c r="BR16" s="124">
        <f t="shared" si="17"/>
        <v>4265.8145269913402</v>
      </c>
      <c r="BS16" s="124" t="s">
        <v>29</v>
      </c>
      <c r="BT16" s="124" t="s">
        <v>29</v>
      </c>
      <c r="BU16" s="124">
        <f t="shared" si="18"/>
        <v>4265.8145269913402</v>
      </c>
      <c r="BV16" s="124" t="s">
        <v>29</v>
      </c>
      <c r="BW16" s="124" t="s">
        <v>29</v>
      </c>
      <c r="BX16" s="124">
        <f>[7]БУОР_стр.1_2!AB19</f>
        <v>2394.7034591362399</v>
      </c>
      <c r="BY16" s="277" t="str">
        <f>[7]Расчет_тарифа_стр.1_3!AG22</f>
        <v>х</v>
      </c>
      <c r="BZ16" s="277" t="str">
        <f>[7]Расчет_тарифа_стр.1_3!AH22</f>
        <v>х</v>
      </c>
      <c r="CA16" s="124">
        <f>[7]БУОР_стр.1_2!AC19</f>
        <v>11455</v>
      </c>
      <c r="CB16" s="124">
        <f>[7]БУОР_стр.1_2!AD19</f>
        <v>2546.1923999611899</v>
      </c>
      <c r="CC16" s="277" t="str">
        <f>[7]Расчет_тарифа_стр.1_3!AK22</f>
        <v>х</v>
      </c>
      <c r="CD16" s="277" t="str">
        <f>[7]Расчет_тарифа_стр.1_3!AL22</f>
        <v>х</v>
      </c>
      <c r="CE16" s="124">
        <f>[7]БУОР_стр.1_2!AE19</f>
        <v>0</v>
      </c>
      <c r="CF16" s="124">
        <v>2640.40842963873</v>
      </c>
      <c r="CG16" s="124" t="s">
        <v>29</v>
      </c>
      <c r="CH16" s="124" t="s">
        <v>29</v>
      </c>
      <c r="CI16" s="124">
        <v>13194.958436152099</v>
      </c>
      <c r="CJ16" s="124">
        <f t="shared" si="20"/>
        <v>10554.550006513369</v>
      </c>
      <c r="CK16" s="124">
        <v>2738.10354153341</v>
      </c>
      <c r="CL16" s="124" t="s">
        <v>29</v>
      </c>
      <c r="CM16" s="124" t="s">
        <v>29</v>
      </c>
      <c r="CN16" s="124">
        <v>17267.08627</v>
      </c>
      <c r="CO16" s="124">
        <f t="shared" si="22"/>
        <v>14528.98272846659</v>
      </c>
      <c r="CP16" s="124">
        <v>2839.4133725681199</v>
      </c>
      <c r="CQ16" s="124" t="s">
        <v>29</v>
      </c>
      <c r="CR16" s="124" t="s">
        <v>29</v>
      </c>
      <c r="CS16" s="124">
        <v>2944.4716673510302</v>
      </c>
      <c r="CT16" s="124" t="s">
        <v>29</v>
      </c>
      <c r="CU16" s="124" t="s">
        <v>29</v>
      </c>
      <c r="CV16" s="124">
        <v>3053.4171190408401</v>
      </c>
      <c r="CW16" s="124" t="s">
        <v>29</v>
      </c>
      <c r="CX16" s="124" t="s">
        <v>29</v>
      </c>
      <c r="CY16" s="277">
        <f t="shared" si="23"/>
        <v>3053.4171190408401</v>
      </c>
      <c r="CZ16" s="124" t="s">
        <v>29</v>
      </c>
      <c r="DA16" s="124" t="s">
        <v>29</v>
      </c>
      <c r="DB16" s="277">
        <f t="shared" si="24"/>
        <v>3053.4171190408401</v>
      </c>
      <c r="DC16" s="124" t="s">
        <v>29</v>
      </c>
      <c r="DD16" s="124" t="s">
        <v>29</v>
      </c>
      <c r="DE16" s="277">
        <f t="shared" si="25"/>
        <v>3053.4171190408401</v>
      </c>
      <c r="DF16" s="124" t="s">
        <v>29</v>
      </c>
      <c r="DG16" s="124" t="s">
        <v>29</v>
      </c>
      <c r="DH16" s="277">
        <f t="shared" si="26"/>
        <v>3053.4171190408401</v>
      </c>
      <c r="DI16" s="124" t="s">
        <v>29</v>
      </c>
      <c r="DJ16" s="124" t="s">
        <v>29</v>
      </c>
      <c r="DK16" s="277">
        <f t="shared" si="27"/>
        <v>3053.4171190408401</v>
      </c>
      <c r="DL16" s="124" t="s">
        <v>29</v>
      </c>
      <c r="DM16" s="124" t="s">
        <v>29</v>
      </c>
      <c r="DN16" s="277">
        <f t="shared" si="28"/>
        <v>3053.4171190408401</v>
      </c>
      <c r="DO16" s="124" t="s">
        <v>29</v>
      </c>
      <c r="DP16" s="124" t="s">
        <v>29</v>
      </c>
      <c r="DQ16" s="277">
        <f t="shared" si="29"/>
        <v>3053.4171190408401</v>
      </c>
      <c r="DR16" s="124" t="s">
        <v>29</v>
      </c>
      <c r="DS16" s="124" t="s">
        <v>29</v>
      </c>
      <c r="DT16" s="277">
        <f t="shared" si="30"/>
        <v>3053.4171190408401</v>
      </c>
      <c r="DU16" s="124" t="s">
        <v>29</v>
      </c>
      <c r="DV16" s="124" t="s">
        <v>29</v>
      </c>
      <c r="DW16" s="277">
        <f t="shared" si="31"/>
        <v>3053.4171190408401</v>
      </c>
      <c r="DX16" s="124" t="s">
        <v>29</v>
      </c>
      <c r="DY16" s="124" t="s">
        <v>29</v>
      </c>
      <c r="DZ16" s="277">
        <f t="shared" si="32"/>
        <v>3053.4171190408401</v>
      </c>
      <c r="EA16" s="124" t="s">
        <v>29</v>
      </c>
      <c r="EB16" s="124" t="s">
        <v>29</v>
      </c>
      <c r="EC16" s="277">
        <f t="shared" si="33"/>
        <v>3053.4171190408401</v>
      </c>
      <c r="ED16" s="124" t="s">
        <v>29</v>
      </c>
      <c r="EE16" s="124" t="s">
        <v>29</v>
      </c>
      <c r="EF16" s="277">
        <f t="shared" si="34"/>
        <v>3053.4171190408401</v>
      </c>
      <c r="EG16" s="124" t="s">
        <v>29</v>
      </c>
      <c r="EH16" s="124" t="s">
        <v>29</v>
      </c>
      <c r="EI16" s="277">
        <f t="shared" si="35"/>
        <v>3053.4171190408401</v>
      </c>
      <c r="EJ16" s="124" t="s">
        <v>29</v>
      </c>
      <c r="EK16" s="124" t="s">
        <v>29</v>
      </c>
      <c r="EL16" s="277">
        <f t="shared" si="36"/>
        <v>3053.4171190408401</v>
      </c>
      <c r="EM16" s="124" t="s">
        <v>29</v>
      </c>
      <c r="EN16" s="124" t="s">
        <v>29</v>
      </c>
      <c r="EO16" s="277">
        <f t="shared" si="37"/>
        <v>3053.4171190408401</v>
      </c>
      <c r="EP16" s="124" t="s">
        <v>29</v>
      </c>
      <c r="EQ16" s="124" t="s">
        <v>29</v>
      </c>
    </row>
    <row r="17" spans="1:147">
      <c r="A17" s="125" t="s">
        <v>363</v>
      </c>
      <c r="B17" s="126" t="s">
        <v>364</v>
      </c>
      <c r="C17" s="122" t="s">
        <v>349</v>
      </c>
      <c r="D17" s="124">
        <f>[7]БУОР_стр.1_2!D27</f>
        <v>11644.5740491047</v>
      </c>
      <c r="E17" s="124" t="s">
        <v>29</v>
      </c>
      <c r="F17" s="124" t="s">
        <v>29</v>
      </c>
      <c r="G17" s="124">
        <f>[7]БУОР_стр.1_2!E27</f>
        <v>7722</v>
      </c>
      <c r="H17" s="124">
        <f>[7]БУОР_стр.1_2!F27</f>
        <v>12381.2098034511</v>
      </c>
      <c r="I17" s="124" t="s">
        <v>29</v>
      </c>
      <c r="J17" s="124" t="s">
        <v>29</v>
      </c>
      <c r="K17" s="124">
        <f>[7]БУОР_стр.1_2!G27</f>
        <v>0</v>
      </c>
      <c r="L17" s="124">
        <v>12839.316483336101</v>
      </c>
      <c r="M17" s="124" t="s">
        <v>29</v>
      </c>
      <c r="N17" s="124" t="s">
        <v>29</v>
      </c>
      <c r="O17" s="124">
        <v>6596.4595900000004</v>
      </c>
      <c r="P17" s="124">
        <f t="shared" si="1"/>
        <v>-6242.8568933361003</v>
      </c>
      <c r="Q17" s="124">
        <v>13314.3711932101</v>
      </c>
      <c r="R17" s="124" t="s">
        <v>29</v>
      </c>
      <c r="S17" s="124" t="s">
        <v>29</v>
      </c>
      <c r="T17" s="124">
        <v>6577.5726400000003</v>
      </c>
      <c r="U17" s="124">
        <f t="shared" si="3"/>
        <v>-6736.7985532100993</v>
      </c>
      <c r="V17" s="124">
        <v>13807.002927349</v>
      </c>
      <c r="W17" s="124" t="s">
        <v>29</v>
      </c>
      <c r="X17" s="124" t="s">
        <v>29</v>
      </c>
      <c r="Y17" s="124">
        <v>14317.8620356507</v>
      </c>
      <c r="Z17" s="124" t="s">
        <v>29</v>
      </c>
      <c r="AA17" s="124" t="s">
        <v>29</v>
      </c>
      <c r="AB17" s="124">
        <v>14847.6229309591</v>
      </c>
      <c r="AC17" s="124" t="s">
        <v>29</v>
      </c>
      <c r="AD17" s="124" t="s">
        <v>29</v>
      </c>
      <c r="AE17" s="124">
        <f t="shared" si="4"/>
        <v>14847.6229309591</v>
      </c>
      <c r="AF17" s="124" t="s">
        <v>29</v>
      </c>
      <c r="AG17" s="124" t="s">
        <v>29</v>
      </c>
      <c r="AH17" s="124">
        <f t="shared" si="5"/>
        <v>14847.6229309591</v>
      </c>
      <c r="AI17" s="124" t="s">
        <v>29</v>
      </c>
      <c r="AJ17" s="124" t="s">
        <v>29</v>
      </c>
      <c r="AK17" s="124">
        <f t="shared" si="6"/>
        <v>14847.6229309591</v>
      </c>
      <c r="AL17" s="124" t="s">
        <v>29</v>
      </c>
      <c r="AM17" s="124" t="s">
        <v>29</v>
      </c>
      <c r="AN17" s="124">
        <f t="shared" si="7"/>
        <v>14847.6229309591</v>
      </c>
      <c r="AO17" s="124" t="s">
        <v>29</v>
      </c>
      <c r="AP17" s="124" t="s">
        <v>29</v>
      </c>
      <c r="AQ17" s="124">
        <f t="shared" si="8"/>
        <v>14847.6229309591</v>
      </c>
      <c r="AR17" s="124" t="s">
        <v>29</v>
      </c>
      <c r="AS17" s="124" t="s">
        <v>29</v>
      </c>
      <c r="AT17" s="124">
        <f t="shared" si="9"/>
        <v>14847.6229309591</v>
      </c>
      <c r="AU17" s="124" t="s">
        <v>29</v>
      </c>
      <c r="AV17" s="124" t="s">
        <v>29</v>
      </c>
      <c r="AW17" s="124">
        <f t="shared" si="10"/>
        <v>14847.6229309591</v>
      </c>
      <c r="AX17" s="124" t="s">
        <v>29</v>
      </c>
      <c r="AY17" s="124" t="s">
        <v>29</v>
      </c>
      <c r="AZ17" s="124">
        <f t="shared" si="11"/>
        <v>14847.6229309591</v>
      </c>
      <c r="BA17" s="124" t="s">
        <v>29</v>
      </c>
      <c r="BB17" s="124" t="s">
        <v>29</v>
      </c>
      <c r="BC17" s="124">
        <f t="shared" si="12"/>
        <v>14847.6229309591</v>
      </c>
      <c r="BD17" s="124" t="s">
        <v>29</v>
      </c>
      <c r="BE17" s="124" t="s">
        <v>29</v>
      </c>
      <c r="BF17" s="124">
        <f t="shared" si="13"/>
        <v>14847.6229309591</v>
      </c>
      <c r="BG17" s="124" t="s">
        <v>29</v>
      </c>
      <c r="BH17" s="124" t="s">
        <v>29</v>
      </c>
      <c r="BI17" s="124">
        <f t="shared" si="14"/>
        <v>14847.6229309591</v>
      </c>
      <c r="BJ17" s="124" t="s">
        <v>29</v>
      </c>
      <c r="BK17" s="124" t="s">
        <v>29</v>
      </c>
      <c r="BL17" s="124">
        <f t="shared" si="15"/>
        <v>14847.6229309591</v>
      </c>
      <c r="BM17" s="124" t="s">
        <v>29</v>
      </c>
      <c r="BN17" s="124" t="s">
        <v>29</v>
      </c>
      <c r="BO17" s="124">
        <f t="shared" si="16"/>
        <v>14847.6229309591</v>
      </c>
      <c r="BP17" s="124" t="s">
        <v>29</v>
      </c>
      <c r="BQ17" s="124" t="s">
        <v>29</v>
      </c>
      <c r="BR17" s="124">
        <f t="shared" si="17"/>
        <v>14847.6229309591</v>
      </c>
      <c r="BS17" s="124" t="s">
        <v>29</v>
      </c>
      <c r="BT17" s="124" t="s">
        <v>29</v>
      </c>
      <c r="BU17" s="124">
        <f t="shared" si="18"/>
        <v>14847.6229309591</v>
      </c>
      <c r="BV17" s="124" t="s">
        <v>29</v>
      </c>
      <c r="BW17" s="124" t="s">
        <v>29</v>
      </c>
      <c r="BX17" s="124">
        <f>[7]БУОР_стр.1_2!AB27</f>
        <v>6966.4083595088796</v>
      </c>
      <c r="BY17" s="277" t="str">
        <f>[7]Расчет_тарифа_стр.1_3!AG23</f>
        <v>х</v>
      </c>
      <c r="BZ17" s="277" t="str">
        <f>[7]Расчет_тарифа_стр.1_3!AH23</f>
        <v>х</v>
      </c>
      <c r="CA17" s="124">
        <f>[7]БУОР_стр.1_2!AC27</f>
        <v>9294</v>
      </c>
      <c r="CB17" s="124">
        <f>[7]БУОР_стр.1_2!AD27</f>
        <v>7407.10335233142</v>
      </c>
      <c r="CC17" s="277" t="str">
        <f>[7]Расчет_тарифа_стр.1_3!AK23</f>
        <v>х</v>
      </c>
      <c r="CD17" s="277" t="str">
        <f>[7]Расчет_тарифа_стр.1_3!AL23</f>
        <v>х</v>
      </c>
      <c r="CE17" s="124">
        <f>[7]БУОР_стр.1_2!AE27</f>
        <v>0</v>
      </c>
      <c r="CF17" s="124">
        <v>7681.1619287535104</v>
      </c>
      <c r="CG17" s="124" t="s">
        <v>29</v>
      </c>
      <c r="CH17" s="124" t="s">
        <v>29</v>
      </c>
      <c r="CI17" s="124">
        <v>9822.6960600000002</v>
      </c>
      <c r="CJ17" s="124">
        <f t="shared" si="20"/>
        <v>2141.5341312464898</v>
      </c>
      <c r="CK17" s="124">
        <v>7965.3649201116996</v>
      </c>
      <c r="CL17" s="124" t="s">
        <v>29</v>
      </c>
      <c r="CM17" s="124" t="s">
        <v>29</v>
      </c>
      <c r="CN17" s="124">
        <v>11000.618689999999</v>
      </c>
      <c r="CO17" s="124">
        <f t="shared" si="22"/>
        <v>3035.2537698882998</v>
      </c>
      <c r="CP17" s="124">
        <v>8260.0834221499299</v>
      </c>
      <c r="CQ17" s="124" t="s">
        <v>29</v>
      </c>
      <c r="CR17" s="124" t="s">
        <v>29</v>
      </c>
      <c r="CS17" s="124">
        <v>8565.70650876336</v>
      </c>
      <c r="CT17" s="124" t="s">
        <v>29</v>
      </c>
      <c r="CU17" s="124" t="s">
        <v>29</v>
      </c>
      <c r="CV17" s="124">
        <v>8882.6376495812601</v>
      </c>
      <c r="CW17" s="124" t="s">
        <v>29</v>
      </c>
      <c r="CX17" s="124" t="s">
        <v>29</v>
      </c>
      <c r="CY17" s="277">
        <f t="shared" si="23"/>
        <v>8882.6376495812601</v>
      </c>
      <c r="CZ17" s="124" t="s">
        <v>29</v>
      </c>
      <c r="DA17" s="124" t="s">
        <v>29</v>
      </c>
      <c r="DB17" s="277">
        <f t="shared" si="24"/>
        <v>8882.6376495812601</v>
      </c>
      <c r="DC17" s="124" t="s">
        <v>29</v>
      </c>
      <c r="DD17" s="124" t="s">
        <v>29</v>
      </c>
      <c r="DE17" s="277">
        <f t="shared" si="25"/>
        <v>8882.6376495812601</v>
      </c>
      <c r="DF17" s="124" t="s">
        <v>29</v>
      </c>
      <c r="DG17" s="124" t="s">
        <v>29</v>
      </c>
      <c r="DH17" s="277">
        <f t="shared" si="26"/>
        <v>8882.6376495812601</v>
      </c>
      <c r="DI17" s="124" t="s">
        <v>29</v>
      </c>
      <c r="DJ17" s="124" t="s">
        <v>29</v>
      </c>
      <c r="DK17" s="277">
        <f t="shared" si="27"/>
        <v>8882.6376495812601</v>
      </c>
      <c r="DL17" s="124" t="s">
        <v>29</v>
      </c>
      <c r="DM17" s="124" t="s">
        <v>29</v>
      </c>
      <c r="DN17" s="277">
        <f t="shared" si="28"/>
        <v>8882.6376495812601</v>
      </c>
      <c r="DO17" s="124" t="s">
        <v>29</v>
      </c>
      <c r="DP17" s="124" t="s">
        <v>29</v>
      </c>
      <c r="DQ17" s="277">
        <f t="shared" si="29"/>
        <v>8882.6376495812601</v>
      </c>
      <c r="DR17" s="124" t="s">
        <v>29</v>
      </c>
      <c r="DS17" s="124" t="s">
        <v>29</v>
      </c>
      <c r="DT17" s="277">
        <f t="shared" si="30"/>
        <v>8882.6376495812601</v>
      </c>
      <c r="DU17" s="124" t="s">
        <v>29</v>
      </c>
      <c r="DV17" s="124" t="s">
        <v>29</v>
      </c>
      <c r="DW17" s="277">
        <f t="shared" si="31"/>
        <v>8882.6376495812601</v>
      </c>
      <c r="DX17" s="124" t="s">
        <v>29</v>
      </c>
      <c r="DY17" s="124" t="s">
        <v>29</v>
      </c>
      <c r="DZ17" s="277">
        <f t="shared" si="32"/>
        <v>8882.6376495812601</v>
      </c>
      <c r="EA17" s="124" t="s">
        <v>29</v>
      </c>
      <c r="EB17" s="124" t="s">
        <v>29</v>
      </c>
      <c r="EC17" s="277">
        <f t="shared" si="33"/>
        <v>8882.6376495812601</v>
      </c>
      <c r="ED17" s="124" t="s">
        <v>29</v>
      </c>
      <c r="EE17" s="124" t="s">
        <v>29</v>
      </c>
      <c r="EF17" s="277">
        <f t="shared" si="34"/>
        <v>8882.6376495812601</v>
      </c>
      <c r="EG17" s="124" t="s">
        <v>29</v>
      </c>
      <c r="EH17" s="124" t="s">
        <v>29</v>
      </c>
      <c r="EI17" s="277">
        <f t="shared" si="35"/>
        <v>8882.6376495812601</v>
      </c>
      <c r="EJ17" s="124" t="s">
        <v>29</v>
      </c>
      <c r="EK17" s="124" t="s">
        <v>29</v>
      </c>
      <c r="EL17" s="277">
        <f t="shared" si="36"/>
        <v>8882.6376495812601</v>
      </c>
      <c r="EM17" s="124" t="s">
        <v>29</v>
      </c>
      <c r="EN17" s="124" t="s">
        <v>29</v>
      </c>
      <c r="EO17" s="277">
        <f t="shared" si="37"/>
        <v>8882.6376495812601</v>
      </c>
      <c r="EP17" s="124" t="s">
        <v>29</v>
      </c>
      <c r="EQ17" s="124" t="s">
        <v>29</v>
      </c>
    </row>
    <row r="18" spans="1:147">
      <c r="A18" s="125" t="s">
        <v>365</v>
      </c>
      <c r="B18" s="126" t="s">
        <v>366</v>
      </c>
      <c r="C18" s="122" t="s">
        <v>349</v>
      </c>
      <c r="D18" s="124">
        <f>[7]БУОР_стр.1_2!D28</f>
        <v>11883.7431236257</v>
      </c>
      <c r="E18" s="124" t="s">
        <v>29</v>
      </c>
      <c r="F18" s="124" t="s">
        <v>29</v>
      </c>
      <c r="G18" s="124">
        <f>[7]БУОР_стр.1_2!E28</f>
        <v>10634</v>
      </c>
      <c r="H18" s="124">
        <f>[7]БУОР_стр.1_2!F28</f>
        <v>12635.682969106299</v>
      </c>
      <c r="I18" s="124" t="s">
        <v>29</v>
      </c>
      <c r="J18" s="124" t="s">
        <v>29</v>
      </c>
      <c r="K18" s="124">
        <f>[7]БУОР_стр.1_2!G28</f>
        <v>0</v>
      </c>
      <c r="L18" s="124">
        <f>18070.1706869678+5000</f>
        <v>23070.170686967798</v>
      </c>
      <c r="M18" s="124" t="s">
        <v>29</v>
      </c>
      <c r="N18" s="124" t="s">
        <v>29</v>
      </c>
      <c r="O18" s="124">
        <v>24070.991944217501</v>
      </c>
      <c r="P18" s="124">
        <f t="shared" si="1"/>
        <v>1000.8212572497032</v>
      </c>
      <c r="Q18" s="124">
        <v>23923.767002385601</v>
      </c>
      <c r="R18" s="124" t="s">
        <v>29</v>
      </c>
      <c r="S18" s="124" t="s">
        <v>29</v>
      </c>
      <c r="T18" s="124">
        <v>22450.60311</v>
      </c>
      <c r="U18" s="124">
        <f t="shared" si="3"/>
        <v>-1473.1638923856008</v>
      </c>
      <c r="V18" s="124">
        <v>24808.946381473899</v>
      </c>
      <c r="W18" s="124" t="s">
        <v>29</v>
      </c>
      <c r="X18" s="124" t="s">
        <v>29</v>
      </c>
      <c r="Y18" s="124">
        <v>25726.8773975884</v>
      </c>
      <c r="Z18" s="124" t="s">
        <v>29</v>
      </c>
      <c r="AA18" s="124" t="s">
        <v>29</v>
      </c>
      <c r="AB18" s="124">
        <v>26678.771861299199</v>
      </c>
      <c r="AC18" s="124" t="s">
        <v>29</v>
      </c>
      <c r="AD18" s="124" t="s">
        <v>29</v>
      </c>
      <c r="AE18" s="124">
        <f t="shared" si="4"/>
        <v>26678.771861299199</v>
      </c>
      <c r="AF18" s="124" t="s">
        <v>29</v>
      </c>
      <c r="AG18" s="124" t="s">
        <v>29</v>
      </c>
      <c r="AH18" s="124">
        <f t="shared" si="5"/>
        <v>26678.771861299199</v>
      </c>
      <c r="AI18" s="124" t="s">
        <v>29</v>
      </c>
      <c r="AJ18" s="124" t="s">
        <v>29</v>
      </c>
      <c r="AK18" s="124">
        <f t="shared" si="6"/>
        <v>26678.771861299199</v>
      </c>
      <c r="AL18" s="124" t="s">
        <v>29</v>
      </c>
      <c r="AM18" s="124" t="s">
        <v>29</v>
      </c>
      <c r="AN18" s="124">
        <f t="shared" si="7"/>
        <v>26678.771861299199</v>
      </c>
      <c r="AO18" s="124" t="s">
        <v>29</v>
      </c>
      <c r="AP18" s="124" t="s">
        <v>29</v>
      </c>
      <c r="AQ18" s="124">
        <f t="shared" si="8"/>
        <v>26678.771861299199</v>
      </c>
      <c r="AR18" s="124" t="s">
        <v>29</v>
      </c>
      <c r="AS18" s="124" t="s">
        <v>29</v>
      </c>
      <c r="AT18" s="124">
        <f t="shared" si="9"/>
        <v>26678.771861299199</v>
      </c>
      <c r="AU18" s="124" t="s">
        <v>29</v>
      </c>
      <c r="AV18" s="124" t="s">
        <v>29</v>
      </c>
      <c r="AW18" s="124">
        <f t="shared" si="10"/>
        <v>26678.771861299199</v>
      </c>
      <c r="AX18" s="124" t="s">
        <v>29</v>
      </c>
      <c r="AY18" s="124" t="s">
        <v>29</v>
      </c>
      <c r="AZ18" s="124">
        <f t="shared" si="11"/>
        <v>26678.771861299199</v>
      </c>
      <c r="BA18" s="124" t="s">
        <v>29</v>
      </c>
      <c r="BB18" s="124" t="s">
        <v>29</v>
      </c>
      <c r="BC18" s="124">
        <f t="shared" si="12"/>
        <v>26678.771861299199</v>
      </c>
      <c r="BD18" s="124" t="s">
        <v>29</v>
      </c>
      <c r="BE18" s="124" t="s">
        <v>29</v>
      </c>
      <c r="BF18" s="124">
        <f t="shared" si="13"/>
        <v>26678.771861299199</v>
      </c>
      <c r="BG18" s="124" t="s">
        <v>29</v>
      </c>
      <c r="BH18" s="124" t="s">
        <v>29</v>
      </c>
      <c r="BI18" s="124">
        <f t="shared" si="14"/>
        <v>26678.771861299199</v>
      </c>
      <c r="BJ18" s="124" t="s">
        <v>29</v>
      </c>
      <c r="BK18" s="124" t="s">
        <v>29</v>
      </c>
      <c r="BL18" s="124">
        <f t="shared" si="15"/>
        <v>26678.771861299199</v>
      </c>
      <c r="BM18" s="124" t="s">
        <v>29</v>
      </c>
      <c r="BN18" s="124" t="s">
        <v>29</v>
      </c>
      <c r="BO18" s="124">
        <f t="shared" si="16"/>
        <v>26678.771861299199</v>
      </c>
      <c r="BP18" s="124" t="s">
        <v>29</v>
      </c>
      <c r="BQ18" s="124" t="s">
        <v>29</v>
      </c>
      <c r="BR18" s="124">
        <f t="shared" si="17"/>
        <v>26678.771861299199</v>
      </c>
      <c r="BS18" s="124" t="s">
        <v>29</v>
      </c>
      <c r="BT18" s="124" t="s">
        <v>29</v>
      </c>
      <c r="BU18" s="124">
        <f t="shared" si="18"/>
        <v>26678.771861299199</v>
      </c>
      <c r="BV18" s="124" t="s">
        <v>29</v>
      </c>
      <c r="BW18" s="124" t="s">
        <v>29</v>
      </c>
      <c r="BX18" s="124">
        <f>[7]БУОР_стр.1_2!AB28</f>
        <v>2849.2865756429101</v>
      </c>
      <c r="BY18" s="277" t="str">
        <f>[7]Расчет_тарифа_стр.1_3!AG24</f>
        <v>х</v>
      </c>
      <c r="BZ18" s="277" t="str">
        <f>[7]Расчет_тарифа_стр.1_3!AH24</f>
        <v>х</v>
      </c>
      <c r="CA18" s="124">
        <f>[7]БУОР_стр.1_2!AC28</f>
        <v>9456</v>
      </c>
      <c r="CB18" s="124">
        <f>[7]БУОР_стр.1_2!AD28</f>
        <v>3029.9730785748702</v>
      </c>
      <c r="CC18" s="277" t="str">
        <f>[7]Расчет_тарифа_стр.1_3!AK24</f>
        <v>х</v>
      </c>
      <c r="CD18" s="277" t="str">
        <f>[7]Расчет_тарифа_стр.1_3!AL24</f>
        <v>х</v>
      </c>
      <c r="CE18" s="124">
        <f>[7]БУОР_стр.1_2!AE28</f>
        <v>0</v>
      </c>
      <c r="CF18" s="124">
        <v>5080.9189262237496</v>
      </c>
      <c r="CG18" s="124" t="s">
        <v>29</v>
      </c>
      <c r="CH18" s="124" t="s">
        <v>29</v>
      </c>
      <c r="CI18" s="124">
        <v>5827.2514088529897</v>
      </c>
      <c r="CJ18" s="124">
        <f t="shared" si="20"/>
        <v>746.33248262924008</v>
      </c>
      <c r="CK18" s="124">
        <v>5268.9129264940302</v>
      </c>
      <c r="CL18" s="124" t="s">
        <v>29</v>
      </c>
      <c r="CM18" s="124" t="s">
        <v>29</v>
      </c>
      <c r="CN18" s="124">
        <v>8894.0911699999997</v>
      </c>
      <c r="CO18" s="124">
        <f t="shared" si="22"/>
        <v>3625.1782435059695</v>
      </c>
      <c r="CP18" s="124">
        <v>5463.8627047743103</v>
      </c>
      <c r="CQ18" s="124" t="s">
        <v>29</v>
      </c>
      <c r="CR18" s="124" t="s">
        <v>29</v>
      </c>
      <c r="CS18" s="124">
        <v>5666.0256248509604</v>
      </c>
      <c r="CT18" s="124" t="s">
        <v>29</v>
      </c>
      <c r="CU18" s="124" t="s">
        <v>29</v>
      </c>
      <c r="CV18" s="124">
        <v>5875.6685729704404</v>
      </c>
      <c r="CW18" s="124" t="s">
        <v>29</v>
      </c>
      <c r="CX18" s="124" t="s">
        <v>29</v>
      </c>
      <c r="CY18" s="277">
        <f t="shared" si="23"/>
        <v>5875.6685729704404</v>
      </c>
      <c r="CZ18" s="124" t="s">
        <v>29</v>
      </c>
      <c r="DA18" s="124" t="s">
        <v>29</v>
      </c>
      <c r="DB18" s="277">
        <f t="shared" si="24"/>
        <v>5875.6685729704404</v>
      </c>
      <c r="DC18" s="124" t="s">
        <v>29</v>
      </c>
      <c r="DD18" s="124" t="s">
        <v>29</v>
      </c>
      <c r="DE18" s="277">
        <f t="shared" si="25"/>
        <v>5875.6685729704404</v>
      </c>
      <c r="DF18" s="124" t="s">
        <v>29</v>
      </c>
      <c r="DG18" s="124" t="s">
        <v>29</v>
      </c>
      <c r="DH18" s="277">
        <f t="shared" si="26"/>
        <v>5875.6685729704404</v>
      </c>
      <c r="DI18" s="124" t="s">
        <v>29</v>
      </c>
      <c r="DJ18" s="124" t="s">
        <v>29</v>
      </c>
      <c r="DK18" s="277">
        <f t="shared" si="27"/>
        <v>5875.6685729704404</v>
      </c>
      <c r="DL18" s="124" t="s">
        <v>29</v>
      </c>
      <c r="DM18" s="124" t="s">
        <v>29</v>
      </c>
      <c r="DN18" s="277">
        <f t="shared" si="28"/>
        <v>5875.6685729704404</v>
      </c>
      <c r="DO18" s="124" t="s">
        <v>29</v>
      </c>
      <c r="DP18" s="124" t="s">
        <v>29</v>
      </c>
      <c r="DQ18" s="277">
        <f t="shared" si="29"/>
        <v>5875.6685729704404</v>
      </c>
      <c r="DR18" s="124" t="s">
        <v>29</v>
      </c>
      <c r="DS18" s="124" t="s">
        <v>29</v>
      </c>
      <c r="DT18" s="277">
        <f t="shared" si="30"/>
        <v>5875.6685729704404</v>
      </c>
      <c r="DU18" s="124" t="s">
        <v>29</v>
      </c>
      <c r="DV18" s="124" t="s">
        <v>29</v>
      </c>
      <c r="DW18" s="277">
        <f t="shared" si="31"/>
        <v>5875.6685729704404</v>
      </c>
      <c r="DX18" s="124" t="s">
        <v>29</v>
      </c>
      <c r="DY18" s="124" t="s">
        <v>29</v>
      </c>
      <c r="DZ18" s="277">
        <f t="shared" si="32"/>
        <v>5875.6685729704404</v>
      </c>
      <c r="EA18" s="124" t="s">
        <v>29</v>
      </c>
      <c r="EB18" s="124" t="s">
        <v>29</v>
      </c>
      <c r="EC18" s="277">
        <f t="shared" si="33"/>
        <v>5875.6685729704404</v>
      </c>
      <c r="ED18" s="124" t="s">
        <v>29</v>
      </c>
      <c r="EE18" s="124" t="s">
        <v>29</v>
      </c>
      <c r="EF18" s="277">
        <f t="shared" si="34"/>
        <v>5875.6685729704404</v>
      </c>
      <c r="EG18" s="124" t="s">
        <v>29</v>
      </c>
      <c r="EH18" s="124" t="s">
        <v>29</v>
      </c>
      <c r="EI18" s="277">
        <f t="shared" si="35"/>
        <v>5875.6685729704404</v>
      </c>
      <c r="EJ18" s="124" t="s">
        <v>29</v>
      </c>
      <c r="EK18" s="124" t="s">
        <v>29</v>
      </c>
      <c r="EL18" s="277">
        <f t="shared" si="36"/>
        <v>5875.6685729704404</v>
      </c>
      <c r="EM18" s="124" t="s">
        <v>29</v>
      </c>
      <c r="EN18" s="124" t="s">
        <v>29</v>
      </c>
      <c r="EO18" s="277">
        <f t="shared" si="37"/>
        <v>5875.6685729704404</v>
      </c>
      <c r="EP18" s="124" t="s">
        <v>29</v>
      </c>
      <c r="EQ18" s="124" t="s">
        <v>29</v>
      </c>
    </row>
    <row r="19" spans="1:147">
      <c r="A19" s="125" t="s">
        <v>367</v>
      </c>
      <c r="B19" s="126" t="s">
        <v>368</v>
      </c>
      <c r="C19" s="122" t="s">
        <v>349</v>
      </c>
      <c r="D19" s="124">
        <f>[7]БУОР_стр.1_2!D29</f>
        <v>4780.2036464277598</v>
      </c>
      <c r="E19" s="124" t="s">
        <v>29</v>
      </c>
      <c r="F19" s="124" t="s">
        <v>29</v>
      </c>
      <c r="G19" s="124">
        <f>[7]БУОР_стр.1_2!E29</f>
        <v>67696</v>
      </c>
      <c r="H19" s="124">
        <f>[7]БУОР_стр.1_2!F29</f>
        <v>5086.6907624285504</v>
      </c>
      <c r="I19" s="124" t="s">
        <v>29</v>
      </c>
      <c r="J19" s="124" t="s">
        <v>29</v>
      </c>
      <c r="K19" s="124">
        <f>[7]БУОР_стр.1_2!G29</f>
        <v>0</v>
      </c>
      <c r="L19" s="124">
        <v>5273.1131942775501</v>
      </c>
      <c r="M19" s="124" t="s">
        <v>29</v>
      </c>
      <c r="N19" s="124" t="s">
        <v>29</v>
      </c>
      <c r="O19" s="124">
        <v>12072.472030000001</v>
      </c>
      <c r="P19" s="124">
        <f t="shared" si="1"/>
        <v>6799.3588357224507</v>
      </c>
      <c r="Q19" s="124">
        <v>5468.2183824658196</v>
      </c>
      <c r="R19" s="124" t="s">
        <v>29</v>
      </c>
      <c r="S19" s="124" t="s">
        <v>29</v>
      </c>
      <c r="T19" s="124">
        <v>12390.391149999999</v>
      </c>
      <c r="U19" s="124">
        <f t="shared" si="3"/>
        <v>6922.1727675341799</v>
      </c>
      <c r="V19" s="124">
        <v>5670.5424626170498</v>
      </c>
      <c r="W19" s="124" t="s">
        <v>29</v>
      </c>
      <c r="X19" s="124" t="s">
        <v>29</v>
      </c>
      <c r="Y19" s="124">
        <v>5880.3525337338897</v>
      </c>
      <c r="Z19" s="124" t="s">
        <v>29</v>
      </c>
      <c r="AA19" s="124" t="s">
        <v>29</v>
      </c>
      <c r="AB19" s="124">
        <v>6097.9255774820404</v>
      </c>
      <c r="AC19" s="124" t="s">
        <v>29</v>
      </c>
      <c r="AD19" s="124" t="s">
        <v>29</v>
      </c>
      <c r="AE19" s="124">
        <f t="shared" si="4"/>
        <v>6097.9255774820404</v>
      </c>
      <c r="AF19" s="124" t="s">
        <v>29</v>
      </c>
      <c r="AG19" s="124" t="s">
        <v>29</v>
      </c>
      <c r="AH19" s="124">
        <f t="shared" si="5"/>
        <v>6097.9255774820404</v>
      </c>
      <c r="AI19" s="124" t="s">
        <v>29</v>
      </c>
      <c r="AJ19" s="124" t="s">
        <v>29</v>
      </c>
      <c r="AK19" s="124">
        <f t="shared" si="6"/>
        <v>6097.9255774820404</v>
      </c>
      <c r="AL19" s="124" t="s">
        <v>29</v>
      </c>
      <c r="AM19" s="124" t="s">
        <v>29</v>
      </c>
      <c r="AN19" s="124">
        <f t="shared" si="7"/>
        <v>6097.9255774820404</v>
      </c>
      <c r="AO19" s="124" t="s">
        <v>29</v>
      </c>
      <c r="AP19" s="124" t="s">
        <v>29</v>
      </c>
      <c r="AQ19" s="124">
        <f t="shared" si="8"/>
        <v>6097.9255774820404</v>
      </c>
      <c r="AR19" s="124" t="s">
        <v>29</v>
      </c>
      <c r="AS19" s="124" t="s">
        <v>29</v>
      </c>
      <c r="AT19" s="124">
        <f t="shared" si="9"/>
        <v>6097.9255774820404</v>
      </c>
      <c r="AU19" s="124" t="s">
        <v>29</v>
      </c>
      <c r="AV19" s="124" t="s">
        <v>29</v>
      </c>
      <c r="AW19" s="124">
        <f t="shared" si="10"/>
        <v>6097.9255774820404</v>
      </c>
      <c r="AX19" s="124" t="s">
        <v>29</v>
      </c>
      <c r="AY19" s="124" t="s">
        <v>29</v>
      </c>
      <c r="AZ19" s="124">
        <f t="shared" si="11"/>
        <v>6097.9255774820404</v>
      </c>
      <c r="BA19" s="124" t="s">
        <v>29</v>
      </c>
      <c r="BB19" s="124" t="s">
        <v>29</v>
      </c>
      <c r="BC19" s="124">
        <f t="shared" si="12"/>
        <v>6097.9255774820404</v>
      </c>
      <c r="BD19" s="124" t="s">
        <v>29</v>
      </c>
      <c r="BE19" s="124" t="s">
        <v>29</v>
      </c>
      <c r="BF19" s="124">
        <f t="shared" si="13"/>
        <v>6097.9255774820404</v>
      </c>
      <c r="BG19" s="124" t="s">
        <v>29</v>
      </c>
      <c r="BH19" s="124" t="s">
        <v>29</v>
      </c>
      <c r="BI19" s="124">
        <f t="shared" si="14"/>
        <v>6097.9255774820404</v>
      </c>
      <c r="BJ19" s="124" t="s">
        <v>29</v>
      </c>
      <c r="BK19" s="124" t="s">
        <v>29</v>
      </c>
      <c r="BL19" s="124">
        <f t="shared" si="15"/>
        <v>6097.9255774820404</v>
      </c>
      <c r="BM19" s="124" t="s">
        <v>29</v>
      </c>
      <c r="BN19" s="124" t="s">
        <v>29</v>
      </c>
      <c r="BO19" s="124">
        <f t="shared" si="16"/>
        <v>6097.9255774820404</v>
      </c>
      <c r="BP19" s="124" t="s">
        <v>29</v>
      </c>
      <c r="BQ19" s="124" t="s">
        <v>29</v>
      </c>
      <c r="BR19" s="124">
        <f t="shared" si="17"/>
        <v>6097.9255774820404</v>
      </c>
      <c r="BS19" s="124" t="s">
        <v>29</v>
      </c>
      <c r="BT19" s="124" t="s">
        <v>29</v>
      </c>
      <c r="BU19" s="124">
        <f t="shared" si="18"/>
        <v>6097.9255774820404</v>
      </c>
      <c r="BV19" s="124" t="s">
        <v>29</v>
      </c>
      <c r="BW19" s="124" t="s">
        <v>29</v>
      </c>
      <c r="BX19" s="124">
        <f>[7]БУОР_стр.1_2!AB29</f>
        <v>-16787.2940566012</v>
      </c>
      <c r="BY19" s="277" t="str">
        <f>[7]Расчет_тарифа_стр.1_3!AG25</f>
        <v>х</v>
      </c>
      <c r="BZ19" s="277" t="str">
        <f>[7]Расчет_тарифа_стр.1_3!AH25</f>
        <v>х</v>
      </c>
      <c r="CA19" s="124">
        <f>[7]БУОР_стр.1_2!AC29</f>
        <v>43665</v>
      </c>
      <c r="CB19" s="124">
        <f>[7]БУОР_стр.1_2!AD29</f>
        <v>3676.7303471752998</v>
      </c>
      <c r="CC19" s="277" t="str">
        <f>[7]Расчет_тарифа_стр.1_3!AK25</f>
        <v>х</v>
      </c>
      <c r="CD19" s="277" t="str">
        <f>[7]Расчет_тарифа_стр.1_3!AL25</f>
        <v>х</v>
      </c>
      <c r="CE19" s="124">
        <f>[7]БУОР_стр.1_2!AE29</f>
        <v>0</v>
      </c>
      <c r="CF19" s="124">
        <v>3812.7768079399898</v>
      </c>
      <c r="CG19" s="124" t="s">
        <v>29</v>
      </c>
      <c r="CH19" s="124" t="s">
        <v>29</v>
      </c>
      <c r="CI19" s="124">
        <v>5342.7969700000003</v>
      </c>
      <c r="CJ19" s="124">
        <f t="shared" si="20"/>
        <v>1530.0201620600105</v>
      </c>
      <c r="CK19" s="124">
        <v>3953.8495498337702</v>
      </c>
      <c r="CL19" s="124" t="s">
        <v>29</v>
      </c>
      <c r="CM19" s="124" t="s">
        <v>29</v>
      </c>
      <c r="CN19" s="124">
        <v>5172.4974099999999</v>
      </c>
      <c r="CO19" s="124">
        <f t="shared" si="22"/>
        <v>1218.6478601662297</v>
      </c>
      <c r="CP19" s="124">
        <v>4100.1419831776202</v>
      </c>
      <c r="CQ19" s="124" t="s">
        <v>29</v>
      </c>
      <c r="CR19" s="124" t="s">
        <v>29</v>
      </c>
      <c r="CS19" s="124">
        <v>4251.8472365551897</v>
      </c>
      <c r="CT19" s="124" t="s">
        <v>29</v>
      </c>
      <c r="CU19" s="124" t="s">
        <v>29</v>
      </c>
      <c r="CV19" s="124">
        <v>4409.1655843077397</v>
      </c>
      <c r="CW19" s="124" t="s">
        <v>29</v>
      </c>
      <c r="CX19" s="124" t="s">
        <v>29</v>
      </c>
      <c r="CY19" s="277">
        <f t="shared" si="23"/>
        <v>4409.1655843077397</v>
      </c>
      <c r="CZ19" s="124" t="s">
        <v>29</v>
      </c>
      <c r="DA19" s="124" t="s">
        <v>29</v>
      </c>
      <c r="DB19" s="277">
        <f t="shared" si="24"/>
        <v>4409.1655843077397</v>
      </c>
      <c r="DC19" s="124" t="s">
        <v>29</v>
      </c>
      <c r="DD19" s="124" t="s">
        <v>29</v>
      </c>
      <c r="DE19" s="277">
        <f t="shared" si="25"/>
        <v>4409.1655843077397</v>
      </c>
      <c r="DF19" s="124" t="s">
        <v>29</v>
      </c>
      <c r="DG19" s="124" t="s">
        <v>29</v>
      </c>
      <c r="DH19" s="277">
        <f t="shared" si="26"/>
        <v>4409.1655843077397</v>
      </c>
      <c r="DI19" s="124" t="s">
        <v>29</v>
      </c>
      <c r="DJ19" s="124" t="s">
        <v>29</v>
      </c>
      <c r="DK19" s="277">
        <f t="shared" si="27"/>
        <v>4409.1655843077397</v>
      </c>
      <c r="DL19" s="124" t="s">
        <v>29</v>
      </c>
      <c r="DM19" s="124" t="s">
        <v>29</v>
      </c>
      <c r="DN19" s="277">
        <f t="shared" si="28"/>
        <v>4409.1655843077397</v>
      </c>
      <c r="DO19" s="124" t="s">
        <v>29</v>
      </c>
      <c r="DP19" s="124" t="s">
        <v>29</v>
      </c>
      <c r="DQ19" s="277">
        <f t="shared" si="29"/>
        <v>4409.1655843077397</v>
      </c>
      <c r="DR19" s="124" t="s">
        <v>29</v>
      </c>
      <c r="DS19" s="124" t="s">
        <v>29</v>
      </c>
      <c r="DT19" s="277">
        <f t="shared" si="30"/>
        <v>4409.1655843077397</v>
      </c>
      <c r="DU19" s="124" t="s">
        <v>29</v>
      </c>
      <c r="DV19" s="124" t="s">
        <v>29</v>
      </c>
      <c r="DW19" s="277">
        <f t="shared" si="31"/>
        <v>4409.1655843077397</v>
      </c>
      <c r="DX19" s="124" t="s">
        <v>29</v>
      </c>
      <c r="DY19" s="124" t="s">
        <v>29</v>
      </c>
      <c r="DZ19" s="277">
        <f t="shared" si="32"/>
        <v>4409.1655843077397</v>
      </c>
      <c r="EA19" s="124" t="s">
        <v>29</v>
      </c>
      <c r="EB19" s="124" t="s">
        <v>29</v>
      </c>
      <c r="EC19" s="277">
        <f t="shared" si="33"/>
        <v>4409.1655843077397</v>
      </c>
      <c r="ED19" s="124" t="s">
        <v>29</v>
      </c>
      <c r="EE19" s="124" t="s">
        <v>29</v>
      </c>
      <c r="EF19" s="277">
        <f t="shared" si="34"/>
        <v>4409.1655843077397</v>
      </c>
      <c r="EG19" s="124" t="s">
        <v>29</v>
      </c>
      <c r="EH19" s="124" t="s">
        <v>29</v>
      </c>
      <c r="EI19" s="277">
        <f t="shared" si="35"/>
        <v>4409.1655843077397</v>
      </c>
      <c r="EJ19" s="124" t="s">
        <v>29</v>
      </c>
      <c r="EK19" s="124" t="s">
        <v>29</v>
      </c>
      <c r="EL19" s="277">
        <f t="shared" si="36"/>
        <v>4409.1655843077397</v>
      </c>
      <c r="EM19" s="124" t="s">
        <v>29</v>
      </c>
      <c r="EN19" s="124" t="s">
        <v>29</v>
      </c>
      <c r="EO19" s="277">
        <f t="shared" si="37"/>
        <v>4409.1655843077397</v>
      </c>
      <c r="EP19" s="124" t="s">
        <v>29</v>
      </c>
      <c r="EQ19" s="124" t="s">
        <v>29</v>
      </c>
    </row>
    <row r="20" spans="1:147" outlineLevel="1">
      <c r="A20" s="125" t="s">
        <v>369</v>
      </c>
      <c r="B20" s="126" t="s">
        <v>370</v>
      </c>
      <c r="C20" s="122" t="s">
        <v>349</v>
      </c>
      <c r="D20" s="124">
        <f>[7]Расчет_тарифа_стр.1_3!D18</f>
        <v>1.048</v>
      </c>
      <c r="E20" s="124" t="s">
        <v>29</v>
      </c>
      <c r="F20" s="124" t="s">
        <v>29</v>
      </c>
      <c r="G20" s="124">
        <f>[7]Расчет_тарифа_стр.1_3!G18</f>
        <v>1.048</v>
      </c>
      <c r="H20" s="124">
        <f>[7]Расчет_тарифа_стр.1_3!H18</f>
        <v>1.048</v>
      </c>
      <c r="I20" s="124" t="s">
        <v>29</v>
      </c>
      <c r="J20" s="124" t="s">
        <v>29</v>
      </c>
      <c r="K20" s="124">
        <f>[7]Расчет_тарифа_стр.1_3!K18</f>
        <v>1.048</v>
      </c>
      <c r="L20" s="124">
        <v>1.0369999999999999</v>
      </c>
      <c r="M20" s="124" t="s">
        <v>29</v>
      </c>
      <c r="N20" s="124" t="s">
        <v>29</v>
      </c>
      <c r="O20" s="124"/>
      <c r="P20" s="124"/>
      <c r="Q20" s="124">
        <v>1.0369999999999999</v>
      </c>
      <c r="R20" s="124" t="s">
        <v>29</v>
      </c>
      <c r="S20" s="124" t="s">
        <v>29</v>
      </c>
      <c r="T20" s="124"/>
      <c r="U20" s="124"/>
      <c r="V20" s="124">
        <v>1.0369999999999999</v>
      </c>
      <c r="W20" s="124" t="s">
        <v>29</v>
      </c>
      <c r="X20" s="124" t="s">
        <v>29</v>
      </c>
      <c r="Y20" s="124">
        <v>1.0369999999999999</v>
      </c>
      <c r="Z20" s="124" t="s">
        <v>29</v>
      </c>
      <c r="AA20" s="124" t="s">
        <v>29</v>
      </c>
      <c r="AB20" s="124">
        <v>1.0369999999999999</v>
      </c>
      <c r="AC20" s="124" t="s">
        <v>29</v>
      </c>
      <c r="AD20" s="124" t="s">
        <v>29</v>
      </c>
      <c r="AE20" s="124">
        <f t="shared" si="4"/>
        <v>1.0369999999999999</v>
      </c>
      <c r="AF20" s="124" t="s">
        <v>29</v>
      </c>
      <c r="AG20" s="124" t="s">
        <v>29</v>
      </c>
      <c r="AH20" s="124">
        <f t="shared" si="5"/>
        <v>1.0369999999999999</v>
      </c>
      <c r="AI20" s="124" t="s">
        <v>29</v>
      </c>
      <c r="AJ20" s="124" t="s">
        <v>29</v>
      </c>
      <c r="AK20" s="124">
        <f t="shared" si="6"/>
        <v>1.0369999999999999</v>
      </c>
      <c r="AL20" s="124" t="s">
        <v>29</v>
      </c>
      <c r="AM20" s="124" t="s">
        <v>29</v>
      </c>
      <c r="AN20" s="124">
        <f t="shared" si="7"/>
        <v>1.0369999999999999</v>
      </c>
      <c r="AO20" s="124" t="s">
        <v>29</v>
      </c>
      <c r="AP20" s="124" t="s">
        <v>29</v>
      </c>
      <c r="AQ20" s="124">
        <f t="shared" si="8"/>
        <v>1.0369999999999999</v>
      </c>
      <c r="AR20" s="124" t="s">
        <v>29</v>
      </c>
      <c r="AS20" s="124" t="s">
        <v>29</v>
      </c>
      <c r="AT20" s="124">
        <f t="shared" si="9"/>
        <v>1.0369999999999999</v>
      </c>
      <c r="AU20" s="124" t="s">
        <v>29</v>
      </c>
      <c r="AV20" s="124" t="s">
        <v>29</v>
      </c>
      <c r="AW20" s="124">
        <f t="shared" si="10"/>
        <v>1.0369999999999999</v>
      </c>
      <c r="AX20" s="124" t="s">
        <v>29</v>
      </c>
      <c r="AY20" s="124" t="s">
        <v>29</v>
      </c>
      <c r="AZ20" s="124">
        <f t="shared" si="11"/>
        <v>1.0369999999999999</v>
      </c>
      <c r="BA20" s="124" t="s">
        <v>29</v>
      </c>
      <c r="BB20" s="124" t="s">
        <v>29</v>
      </c>
      <c r="BC20" s="124">
        <f t="shared" si="12"/>
        <v>1.0369999999999999</v>
      </c>
      <c r="BD20" s="124" t="s">
        <v>29</v>
      </c>
      <c r="BE20" s="124" t="s">
        <v>29</v>
      </c>
      <c r="BF20" s="124">
        <f t="shared" si="13"/>
        <v>1.0369999999999999</v>
      </c>
      <c r="BG20" s="124" t="s">
        <v>29</v>
      </c>
      <c r="BH20" s="124" t="s">
        <v>29</v>
      </c>
      <c r="BI20" s="124">
        <f t="shared" si="14"/>
        <v>1.0369999999999999</v>
      </c>
      <c r="BJ20" s="124" t="s">
        <v>29</v>
      </c>
      <c r="BK20" s="124" t="s">
        <v>29</v>
      </c>
      <c r="BL20" s="124">
        <f t="shared" si="15"/>
        <v>1.0369999999999999</v>
      </c>
      <c r="BM20" s="124" t="s">
        <v>29</v>
      </c>
      <c r="BN20" s="124" t="s">
        <v>29</v>
      </c>
      <c r="BO20" s="124">
        <f t="shared" si="16"/>
        <v>1.0369999999999999</v>
      </c>
      <c r="BP20" s="124" t="s">
        <v>29</v>
      </c>
      <c r="BQ20" s="124" t="s">
        <v>29</v>
      </c>
      <c r="BR20" s="124">
        <f t="shared" si="17"/>
        <v>1.0369999999999999</v>
      </c>
      <c r="BS20" s="124" t="s">
        <v>29</v>
      </c>
      <c r="BT20" s="124" t="s">
        <v>29</v>
      </c>
      <c r="BU20" s="124">
        <f t="shared" si="18"/>
        <v>1.0369999999999999</v>
      </c>
      <c r="BV20" s="124" t="s">
        <v>29</v>
      </c>
      <c r="BW20" s="124" t="s">
        <v>29</v>
      </c>
      <c r="BX20" s="276">
        <f>[7]Расчет_тарифа_стр.1_3!AF18</f>
        <v>1.048</v>
      </c>
      <c r="BY20" s="277" t="str">
        <f>[7]Расчет_тарифа_стр.1_3!AG18</f>
        <v>х</v>
      </c>
      <c r="BZ20" s="277" t="str">
        <f>[7]Расчет_тарифа_стр.1_3!AH18</f>
        <v>х</v>
      </c>
      <c r="CA20" s="277">
        <f>[7]Расчет_тарифа_стр.1_3!AI18</f>
        <v>1.048</v>
      </c>
      <c r="CB20" s="277">
        <f>[7]Расчет_тарифа_стр.1_3!AJ18</f>
        <v>1.048</v>
      </c>
      <c r="CC20" s="277" t="str">
        <f>[7]Расчет_тарифа_стр.1_3!AK18</f>
        <v>х</v>
      </c>
      <c r="CD20" s="277" t="str">
        <f>[7]Расчет_тарифа_стр.1_3!AL18</f>
        <v>х</v>
      </c>
      <c r="CE20" s="277">
        <f>[7]Расчет_тарифа_стр.1_3!AM18</f>
        <v>1.048</v>
      </c>
      <c r="CF20" s="277">
        <v>1.0369999999999999</v>
      </c>
      <c r="CG20" s="124" t="s">
        <v>29</v>
      </c>
      <c r="CH20" s="124" t="s">
        <v>29</v>
      </c>
      <c r="CI20" s="124"/>
      <c r="CJ20" s="124"/>
      <c r="CK20" s="124">
        <v>1.075369</v>
      </c>
      <c r="CL20" s="124" t="s">
        <v>29</v>
      </c>
      <c r="CM20" s="124" t="s">
        <v>29</v>
      </c>
      <c r="CN20" s="124"/>
      <c r="CO20" s="124"/>
      <c r="CP20" s="124">
        <v>1.115157653</v>
      </c>
      <c r="CQ20" s="124" t="s">
        <v>29</v>
      </c>
      <c r="CR20" s="124" t="s">
        <v>29</v>
      </c>
      <c r="CS20" s="124">
        <v>1.1564184861610001</v>
      </c>
      <c r="CT20" s="124" t="s">
        <v>29</v>
      </c>
      <c r="CU20" s="124" t="s">
        <v>29</v>
      </c>
      <c r="CV20" s="124">
        <v>1.1992059701489599</v>
      </c>
      <c r="CW20" s="124" t="s">
        <v>29</v>
      </c>
      <c r="CX20" s="124" t="s">
        <v>29</v>
      </c>
      <c r="CY20" s="277">
        <f t="shared" si="23"/>
        <v>1.1992059701489599</v>
      </c>
      <c r="CZ20" s="124" t="s">
        <v>29</v>
      </c>
      <c r="DA20" s="124" t="s">
        <v>29</v>
      </c>
      <c r="DB20" s="277">
        <f t="shared" si="24"/>
        <v>1.1992059701489599</v>
      </c>
      <c r="DC20" s="124" t="s">
        <v>29</v>
      </c>
      <c r="DD20" s="124" t="s">
        <v>29</v>
      </c>
      <c r="DE20" s="277">
        <f t="shared" si="25"/>
        <v>1.1992059701489599</v>
      </c>
      <c r="DF20" s="124" t="s">
        <v>29</v>
      </c>
      <c r="DG20" s="124" t="s">
        <v>29</v>
      </c>
      <c r="DH20" s="277">
        <f t="shared" si="26"/>
        <v>1.1992059701489599</v>
      </c>
      <c r="DI20" s="124" t="s">
        <v>29</v>
      </c>
      <c r="DJ20" s="124" t="s">
        <v>29</v>
      </c>
      <c r="DK20" s="277">
        <f t="shared" si="27"/>
        <v>1.1992059701489599</v>
      </c>
      <c r="DL20" s="124" t="s">
        <v>29</v>
      </c>
      <c r="DM20" s="124" t="s">
        <v>29</v>
      </c>
      <c r="DN20" s="277">
        <f t="shared" si="28"/>
        <v>1.1992059701489599</v>
      </c>
      <c r="DO20" s="124" t="s">
        <v>29</v>
      </c>
      <c r="DP20" s="124" t="s">
        <v>29</v>
      </c>
      <c r="DQ20" s="277">
        <f t="shared" si="29"/>
        <v>1.1992059701489599</v>
      </c>
      <c r="DR20" s="124" t="s">
        <v>29</v>
      </c>
      <c r="DS20" s="124" t="s">
        <v>29</v>
      </c>
      <c r="DT20" s="277">
        <f t="shared" si="30"/>
        <v>1.1992059701489599</v>
      </c>
      <c r="DU20" s="124" t="s">
        <v>29</v>
      </c>
      <c r="DV20" s="124" t="s">
        <v>29</v>
      </c>
      <c r="DW20" s="277">
        <f t="shared" si="31"/>
        <v>1.1992059701489599</v>
      </c>
      <c r="DX20" s="124" t="s">
        <v>29</v>
      </c>
      <c r="DY20" s="124" t="s">
        <v>29</v>
      </c>
      <c r="DZ20" s="277">
        <f t="shared" si="32"/>
        <v>1.1992059701489599</v>
      </c>
      <c r="EA20" s="124" t="s">
        <v>29</v>
      </c>
      <c r="EB20" s="124" t="s">
        <v>29</v>
      </c>
      <c r="EC20" s="277">
        <f t="shared" si="33"/>
        <v>1.1992059701489599</v>
      </c>
      <c r="ED20" s="124" t="s">
        <v>29</v>
      </c>
      <c r="EE20" s="124" t="s">
        <v>29</v>
      </c>
      <c r="EF20" s="277">
        <f t="shared" si="34"/>
        <v>1.1992059701489599</v>
      </c>
      <c r="EG20" s="124" t="s">
        <v>29</v>
      </c>
      <c r="EH20" s="124" t="s">
        <v>29</v>
      </c>
      <c r="EI20" s="277">
        <f t="shared" si="35"/>
        <v>1.1992059701489599</v>
      </c>
      <c r="EJ20" s="124" t="s">
        <v>29</v>
      </c>
      <c r="EK20" s="124" t="s">
        <v>29</v>
      </c>
      <c r="EL20" s="277">
        <f t="shared" si="36"/>
        <v>1.1992059701489599</v>
      </c>
      <c r="EM20" s="124" t="s">
        <v>29</v>
      </c>
      <c r="EN20" s="124" t="s">
        <v>29</v>
      </c>
      <c r="EO20" s="277">
        <f t="shared" si="37"/>
        <v>1.1992059701489599</v>
      </c>
      <c r="EP20" s="124" t="s">
        <v>29</v>
      </c>
      <c r="EQ20" s="124" t="s">
        <v>29</v>
      </c>
    </row>
    <row r="21" spans="1:147" outlineLevel="1">
      <c r="A21" s="125" t="s">
        <v>371</v>
      </c>
      <c r="B21" s="126" t="s">
        <v>372</v>
      </c>
      <c r="C21" s="122" t="s">
        <v>349</v>
      </c>
      <c r="D21" s="124">
        <f>[7]Расчет_тарифа_стр.1_3!D19</f>
        <v>0</v>
      </c>
      <c r="E21" s="124" t="s">
        <v>29</v>
      </c>
      <c r="F21" s="124" t="s">
        <v>29</v>
      </c>
      <c r="G21" s="124">
        <f>[7]Расчет_тарифа_стр.1_3!G19</f>
        <v>1.15533298403963</v>
      </c>
      <c r="H21" s="124">
        <f>[7]Расчет_тарифа_стр.1_3!H19</f>
        <v>0</v>
      </c>
      <c r="I21" s="124" t="s">
        <v>29</v>
      </c>
      <c r="J21" s="124" t="s">
        <v>29</v>
      </c>
      <c r="K21" s="124">
        <f>[7]Расчет_тарифа_стр.1_3!K19</f>
        <v>1.07490705190965</v>
      </c>
      <c r="L21" s="124">
        <v>1.0469999999999999</v>
      </c>
      <c r="M21" s="124" t="s">
        <v>29</v>
      </c>
      <c r="N21" s="124" t="s">
        <v>29</v>
      </c>
      <c r="O21" s="124"/>
      <c r="P21" s="124"/>
      <c r="Q21" s="124">
        <v>1.04</v>
      </c>
      <c r="R21" s="124" t="s">
        <v>29</v>
      </c>
      <c r="S21" s="124" t="s">
        <v>29</v>
      </c>
      <c r="T21" s="124"/>
      <c r="U21" s="124"/>
      <c r="V21" s="124">
        <v>1.04</v>
      </c>
      <c r="W21" s="124" t="s">
        <v>29</v>
      </c>
      <c r="X21" s="124" t="s">
        <v>29</v>
      </c>
      <c r="Y21" s="124">
        <v>1.04</v>
      </c>
      <c r="Z21" s="124" t="s">
        <v>29</v>
      </c>
      <c r="AA21" s="124" t="s">
        <v>29</v>
      </c>
      <c r="AB21" s="124">
        <v>1.04</v>
      </c>
      <c r="AC21" s="124" t="s">
        <v>29</v>
      </c>
      <c r="AD21" s="124" t="s">
        <v>29</v>
      </c>
      <c r="AE21" s="124">
        <f t="shared" si="4"/>
        <v>1.04</v>
      </c>
      <c r="AF21" s="124" t="s">
        <v>29</v>
      </c>
      <c r="AG21" s="124" t="s">
        <v>29</v>
      </c>
      <c r="AH21" s="124">
        <f t="shared" si="5"/>
        <v>1.04</v>
      </c>
      <c r="AI21" s="124" t="s">
        <v>29</v>
      </c>
      <c r="AJ21" s="124" t="s">
        <v>29</v>
      </c>
      <c r="AK21" s="124">
        <f t="shared" si="6"/>
        <v>1.04</v>
      </c>
      <c r="AL21" s="124" t="s">
        <v>29</v>
      </c>
      <c r="AM21" s="124" t="s">
        <v>29</v>
      </c>
      <c r="AN21" s="124">
        <f t="shared" si="7"/>
        <v>1.04</v>
      </c>
      <c r="AO21" s="124" t="s">
        <v>29</v>
      </c>
      <c r="AP21" s="124" t="s">
        <v>29</v>
      </c>
      <c r="AQ21" s="124">
        <f t="shared" si="8"/>
        <v>1.04</v>
      </c>
      <c r="AR21" s="124" t="s">
        <v>29</v>
      </c>
      <c r="AS21" s="124" t="s">
        <v>29</v>
      </c>
      <c r="AT21" s="124">
        <f t="shared" si="9"/>
        <v>1.04</v>
      </c>
      <c r="AU21" s="124" t="s">
        <v>29</v>
      </c>
      <c r="AV21" s="124" t="s">
        <v>29</v>
      </c>
      <c r="AW21" s="124">
        <f t="shared" si="10"/>
        <v>1.04</v>
      </c>
      <c r="AX21" s="124" t="s">
        <v>29</v>
      </c>
      <c r="AY21" s="124" t="s">
        <v>29</v>
      </c>
      <c r="AZ21" s="124">
        <f t="shared" si="11"/>
        <v>1.04</v>
      </c>
      <c r="BA21" s="124" t="s">
        <v>29</v>
      </c>
      <c r="BB21" s="124" t="s">
        <v>29</v>
      </c>
      <c r="BC21" s="124">
        <f t="shared" si="12"/>
        <v>1.04</v>
      </c>
      <c r="BD21" s="124" t="s">
        <v>29</v>
      </c>
      <c r="BE21" s="124" t="s">
        <v>29</v>
      </c>
      <c r="BF21" s="124">
        <f t="shared" si="13"/>
        <v>1.04</v>
      </c>
      <c r="BG21" s="124" t="s">
        <v>29</v>
      </c>
      <c r="BH21" s="124" t="s">
        <v>29</v>
      </c>
      <c r="BI21" s="124">
        <f t="shared" si="14"/>
        <v>1.04</v>
      </c>
      <c r="BJ21" s="124" t="s">
        <v>29</v>
      </c>
      <c r="BK21" s="124" t="s">
        <v>29</v>
      </c>
      <c r="BL21" s="124">
        <f t="shared" si="15"/>
        <v>1.04</v>
      </c>
      <c r="BM21" s="124" t="s">
        <v>29</v>
      </c>
      <c r="BN21" s="124" t="s">
        <v>29</v>
      </c>
      <c r="BO21" s="124">
        <f t="shared" si="16"/>
        <v>1.04</v>
      </c>
      <c r="BP21" s="124" t="s">
        <v>29</v>
      </c>
      <c r="BQ21" s="124" t="s">
        <v>29</v>
      </c>
      <c r="BR21" s="124">
        <f t="shared" si="17"/>
        <v>1.04</v>
      </c>
      <c r="BS21" s="124" t="s">
        <v>29</v>
      </c>
      <c r="BT21" s="124" t="s">
        <v>29</v>
      </c>
      <c r="BU21" s="124">
        <f t="shared" si="18"/>
        <v>1.04</v>
      </c>
      <c r="BV21" s="124" t="s">
        <v>29</v>
      </c>
      <c r="BW21" s="124" t="s">
        <v>29</v>
      </c>
      <c r="BX21" s="276">
        <f>[7]Расчет_тарифа_стр.1_3!AF19</f>
        <v>0</v>
      </c>
      <c r="BY21" s="277" t="str">
        <f>[7]Расчет_тарифа_стр.1_3!AG19</f>
        <v>х</v>
      </c>
      <c r="BZ21" s="277" t="str">
        <f>[7]Расчет_тарифа_стр.1_3!AH19</f>
        <v>х</v>
      </c>
      <c r="CA21" s="277">
        <f>[7]Расчет_тарифа_стр.1_3!AI19</f>
        <v>1.15533298403963</v>
      </c>
      <c r="CB21" s="277">
        <f>[7]Расчет_тарифа_стр.1_3!AJ19</f>
        <v>0</v>
      </c>
      <c r="CC21" s="277" t="str">
        <f>[7]Расчет_тарифа_стр.1_3!AK19</f>
        <v>х</v>
      </c>
      <c r="CD21" s="277" t="str">
        <f>[7]Расчет_тарифа_стр.1_3!AL19</f>
        <v>х</v>
      </c>
      <c r="CE21" s="277">
        <f>[7]Расчет_тарифа_стр.1_3!AM19</f>
        <v>1.07490705190965</v>
      </c>
      <c r="CF21" s="277">
        <v>1.0469999999999999</v>
      </c>
      <c r="CG21" s="124" t="s">
        <v>29</v>
      </c>
      <c r="CH21" s="124" t="s">
        <v>29</v>
      </c>
      <c r="CI21" s="124"/>
      <c r="CJ21" s="124"/>
      <c r="CK21" s="124">
        <v>1.085739</v>
      </c>
      <c r="CL21" s="124" t="s">
        <v>29</v>
      </c>
      <c r="CM21" s="124" t="s">
        <v>29</v>
      </c>
      <c r="CN21" s="124"/>
      <c r="CO21" s="124"/>
      <c r="CP21" s="124">
        <v>1.1259113430000001</v>
      </c>
      <c r="CQ21" s="124" t="s">
        <v>29</v>
      </c>
      <c r="CR21" s="124" t="s">
        <v>29</v>
      </c>
      <c r="CS21" s="124">
        <v>1.1675700626909999</v>
      </c>
      <c r="CT21" s="124" t="s">
        <v>29</v>
      </c>
      <c r="CU21" s="124" t="s">
        <v>29</v>
      </c>
      <c r="CV21" s="124">
        <v>1.2107701550105701</v>
      </c>
      <c r="CW21" s="124" t="s">
        <v>29</v>
      </c>
      <c r="CX21" s="124" t="s">
        <v>29</v>
      </c>
      <c r="CY21" s="277">
        <f t="shared" si="23"/>
        <v>1.2107701550105701</v>
      </c>
      <c r="CZ21" s="124" t="s">
        <v>29</v>
      </c>
      <c r="DA21" s="124" t="s">
        <v>29</v>
      </c>
      <c r="DB21" s="277">
        <f t="shared" si="24"/>
        <v>1.2107701550105701</v>
      </c>
      <c r="DC21" s="124" t="s">
        <v>29</v>
      </c>
      <c r="DD21" s="124" t="s">
        <v>29</v>
      </c>
      <c r="DE21" s="277">
        <f t="shared" si="25"/>
        <v>1.2107701550105701</v>
      </c>
      <c r="DF21" s="124" t="s">
        <v>29</v>
      </c>
      <c r="DG21" s="124" t="s">
        <v>29</v>
      </c>
      <c r="DH21" s="277">
        <f t="shared" si="26"/>
        <v>1.2107701550105701</v>
      </c>
      <c r="DI21" s="124" t="s">
        <v>29</v>
      </c>
      <c r="DJ21" s="124" t="s">
        <v>29</v>
      </c>
      <c r="DK21" s="277">
        <f t="shared" si="27"/>
        <v>1.2107701550105701</v>
      </c>
      <c r="DL21" s="124" t="s">
        <v>29</v>
      </c>
      <c r="DM21" s="124" t="s">
        <v>29</v>
      </c>
      <c r="DN21" s="277">
        <f t="shared" si="28"/>
        <v>1.2107701550105701</v>
      </c>
      <c r="DO21" s="124" t="s">
        <v>29</v>
      </c>
      <c r="DP21" s="124" t="s">
        <v>29</v>
      </c>
      <c r="DQ21" s="277">
        <f t="shared" si="29"/>
        <v>1.2107701550105701</v>
      </c>
      <c r="DR21" s="124" t="s">
        <v>29</v>
      </c>
      <c r="DS21" s="124" t="s">
        <v>29</v>
      </c>
      <c r="DT21" s="277">
        <f t="shared" si="30"/>
        <v>1.2107701550105701</v>
      </c>
      <c r="DU21" s="124" t="s">
        <v>29</v>
      </c>
      <c r="DV21" s="124" t="s">
        <v>29</v>
      </c>
      <c r="DW21" s="277">
        <f t="shared" si="31"/>
        <v>1.2107701550105701</v>
      </c>
      <c r="DX21" s="124" t="s">
        <v>29</v>
      </c>
      <c r="DY21" s="124" t="s">
        <v>29</v>
      </c>
      <c r="DZ21" s="277">
        <f t="shared" si="32"/>
        <v>1.2107701550105701</v>
      </c>
      <c r="EA21" s="124" t="s">
        <v>29</v>
      </c>
      <c r="EB21" s="124" t="s">
        <v>29</v>
      </c>
      <c r="EC21" s="277">
        <f t="shared" si="33"/>
        <v>1.2107701550105701</v>
      </c>
      <c r="ED21" s="124" t="s">
        <v>29</v>
      </c>
      <c r="EE21" s="124" t="s">
        <v>29</v>
      </c>
      <c r="EF21" s="277">
        <f t="shared" si="34"/>
        <v>1.2107701550105701</v>
      </c>
      <c r="EG21" s="124" t="s">
        <v>29</v>
      </c>
      <c r="EH21" s="124" t="s">
        <v>29</v>
      </c>
      <c r="EI21" s="277">
        <f t="shared" si="35"/>
        <v>1.2107701550105701</v>
      </c>
      <c r="EJ21" s="124" t="s">
        <v>29</v>
      </c>
      <c r="EK21" s="124" t="s">
        <v>29</v>
      </c>
      <c r="EL21" s="277">
        <f t="shared" si="36"/>
        <v>1.2107701550105701</v>
      </c>
      <c r="EM21" s="124" t="s">
        <v>29</v>
      </c>
      <c r="EN21" s="124" t="s">
        <v>29</v>
      </c>
      <c r="EO21" s="277">
        <f t="shared" si="37"/>
        <v>1.2107701550105701</v>
      </c>
      <c r="EP21" s="124" t="s">
        <v>29</v>
      </c>
      <c r="EQ21" s="124" t="s">
        <v>29</v>
      </c>
    </row>
    <row r="22" spans="1:147" outlineLevel="1">
      <c r="A22" s="125" t="s">
        <v>373</v>
      </c>
      <c r="B22" s="126" t="s">
        <v>374</v>
      </c>
      <c r="C22" s="122" t="s">
        <v>349</v>
      </c>
      <c r="D22" s="124">
        <f>[7]Расчет_тарифа_стр.1_3!D20</f>
        <v>0</v>
      </c>
      <c r="E22" s="124" t="s">
        <v>29</v>
      </c>
      <c r="F22" s="124" t="s">
        <v>29</v>
      </c>
      <c r="G22" s="124">
        <f>[7]Расчет_тарифа_стр.1_3!G20</f>
        <v>0</v>
      </c>
      <c r="H22" s="124">
        <f>[7]Расчет_тарифа_стр.1_3!H20</f>
        <v>0</v>
      </c>
      <c r="I22" s="124" t="s">
        <v>29</v>
      </c>
      <c r="J22" s="124" t="s">
        <v>29</v>
      </c>
      <c r="K22" s="124">
        <f>[7]Расчет_тарифа_стр.1_3!K20</f>
        <v>0</v>
      </c>
      <c r="L22" s="124">
        <v>0</v>
      </c>
      <c r="M22" s="124" t="s">
        <v>29</v>
      </c>
      <c r="N22" s="124" t="s">
        <v>29</v>
      </c>
      <c r="O22" s="124"/>
      <c r="P22" s="124"/>
      <c r="Q22" s="124">
        <v>0</v>
      </c>
      <c r="R22" s="124" t="s">
        <v>29</v>
      </c>
      <c r="S22" s="124" t="s">
        <v>29</v>
      </c>
      <c r="T22" s="124"/>
      <c r="U22" s="124"/>
      <c r="V22" s="124">
        <v>0</v>
      </c>
      <c r="W22" s="124" t="s">
        <v>29</v>
      </c>
      <c r="X22" s="124" t="s">
        <v>29</v>
      </c>
      <c r="Y22" s="124">
        <v>0</v>
      </c>
      <c r="Z22" s="124" t="s">
        <v>29</v>
      </c>
      <c r="AA22" s="124" t="s">
        <v>29</v>
      </c>
      <c r="AB22" s="124">
        <v>0</v>
      </c>
      <c r="AC22" s="124" t="s">
        <v>29</v>
      </c>
      <c r="AD22" s="124" t="s">
        <v>29</v>
      </c>
      <c r="AE22" s="124">
        <f t="shared" si="4"/>
        <v>0</v>
      </c>
      <c r="AF22" s="124" t="s">
        <v>29</v>
      </c>
      <c r="AG22" s="124" t="s">
        <v>29</v>
      </c>
      <c r="AH22" s="124">
        <f t="shared" si="5"/>
        <v>0</v>
      </c>
      <c r="AI22" s="124" t="s">
        <v>29</v>
      </c>
      <c r="AJ22" s="124" t="s">
        <v>29</v>
      </c>
      <c r="AK22" s="124">
        <f t="shared" si="6"/>
        <v>0</v>
      </c>
      <c r="AL22" s="124" t="s">
        <v>29</v>
      </c>
      <c r="AM22" s="124" t="s">
        <v>29</v>
      </c>
      <c r="AN22" s="124">
        <f t="shared" si="7"/>
        <v>0</v>
      </c>
      <c r="AO22" s="124" t="s">
        <v>29</v>
      </c>
      <c r="AP22" s="124" t="s">
        <v>29</v>
      </c>
      <c r="AQ22" s="124">
        <f t="shared" si="8"/>
        <v>0</v>
      </c>
      <c r="AR22" s="124" t="s">
        <v>29</v>
      </c>
      <c r="AS22" s="124" t="s">
        <v>29</v>
      </c>
      <c r="AT22" s="124">
        <f t="shared" si="9"/>
        <v>0</v>
      </c>
      <c r="AU22" s="124" t="s">
        <v>29</v>
      </c>
      <c r="AV22" s="124" t="s">
        <v>29</v>
      </c>
      <c r="AW22" s="124">
        <f t="shared" si="10"/>
        <v>0</v>
      </c>
      <c r="AX22" s="124" t="s">
        <v>29</v>
      </c>
      <c r="AY22" s="124" t="s">
        <v>29</v>
      </c>
      <c r="AZ22" s="124">
        <f t="shared" si="11"/>
        <v>0</v>
      </c>
      <c r="BA22" s="124" t="s">
        <v>29</v>
      </c>
      <c r="BB22" s="124" t="s">
        <v>29</v>
      </c>
      <c r="BC22" s="124">
        <f t="shared" si="12"/>
        <v>0</v>
      </c>
      <c r="BD22" s="124" t="s">
        <v>29</v>
      </c>
      <c r="BE22" s="124" t="s">
        <v>29</v>
      </c>
      <c r="BF22" s="124">
        <f t="shared" si="13"/>
        <v>0</v>
      </c>
      <c r="BG22" s="124" t="s">
        <v>29</v>
      </c>
      <c r="BH22" s="124" t="s">
        <v>29</v>
      </c>
      <c r="BI22" s="124">
        <f t="shared" si="14"/>
        <v>0</v>
      </c>
      <c r="BJ22" s="124" t="s">
        <v>29</v>
      </c>
      <c r="BK22" s="124" t="s">
        <v>29</v>
      </c>
      <c r="BL22" s="124">
        <f t="shared" si="15"/>
        <v>0</v>
      </c>
      <c r="BM22" s="124" t="s">
        <v>29</v>
      </c>
      <c r="BN22" s="124" t="s">
        <v>29</v>
      </c>
      <c r="BO22" s="124">
        <f t="shared" si="16"/>
        <v>0</v>
      </c>
      <c r="BP22" s="124" t="s">
        <v>29</v>
      </c>
      <c r="BQ22" s="124" t="s">
        <v>29</v>
      </c>
      <c r="BR22" s="124">
        <f t="shared" si="17"/>
        <v>0</v>
      </c>
      <c r="BS22" s="124" t="s">
        <v>29</v>
      </c>
      <c r="BT22" s="124" t="s">
        <v>29</v>
      </c>
      <c r="BU22" s="124">
        <f t="shared" si="18"/>
        <v>0</v>
      </c>
      <c r="BV22" s="124" t="s">
        <v>29</v>
      </c>
      <c r="BW22" s="124" t="s">
        <v>29</v>
      </c>
      <c r="BX22" s="276">
        <f>[7]Расчет_тарифа_стр.1_3!AF20</f>
        <v>0</v>
      </c>
      <c r="BY22" s="277" t="str">
        <f>[7]Расчет_тарифа_стр.1_3!AG20</f>
        <v>х</v>
      </c>
      <c r="BZ22" s="277" t="str">
        <f>[7]Расчет_тарифа_стр.1_3!AH20</f>
        <v>х</v>
      </c>
      <c r="CA22" s="277">
        <f>[7]Расчет_тарифа_стр.1_3!AI20</f>
        <v>0</v>
      </c>
      <c r="CB22" s="277">
        <f>[7]Расчет_тарифа_стр.1_3!AJ20</f>
        <v>0</v>
      </c>
      <c r="CC22" s="277" t="str">
        <f>[7]Расчет_тарифа_стр.1_3!AK20</f>
        <v>х</v>
      </c>
      <c r="CD22" s="277" t="str">
        <f>[7]Расчет_тарифа_стр.1_3!AL20</f>
        <v>х</v>
      </c>
      <c r="CE22" s="277">
        <f>[7]Расчет_тарифа_стр.1_3!AM20</f>
        <v>0</v>
      </c>
      <c r="CF22" s="277">
        <v>0</v>
      </c>
      <c r="CG22" s="124" t="s">
        <v>29</v>
      </c>
      <c r="CH22" s="124" t="s">
        <v>29</v>
      </c>
      <c r="CI22" s="124"/>
      <c r="CJ22" s="124"/>
      <c r="CK22" s="124">
        <v>0</v>
      </c>
      <c r="CL22" s="124" t="s">
        <v>29</v>
      </c>
      <c r="CM22" s="124" t="s">
        <v>29</v>
      </c>
      <c r="CN22" s="124"/>
      <c r="CO22" s="124"/>
      <c r="CP22" s="124">
        <v>0</v>
      </c>
      <c r="CQ22" s="124" t="s">
        <v>29</v>
      </c>
      <c r="CR22" s="124" t="s">
        <v>29</v>
      </c>
      <c r="CS22" s="124">
        <v>0</v>
      </c>
      <c r="CT22" s="124" t="s">
        <v>29</v>
      </c>
      <c r="CU22" s="124" t="s">
        <v>29</v>
      </c>
      <c r="CV22" s="124">
        <v>0</v>
      </c>
      <c r="CW22" s="124" t="s">
        <v>29</v>
      </c>
      <c r="CX22" s="124" t="s">
        <v>29</v>
      </c>
      <c r="CY22" s="277">
        <f t="shared" si="23"/>
        <v>0</v>
      </c>
      <c r="CZ22" s="124" t="s">
        <v>29</v>
      </c>
      <c r="DA22" s="124" t="s">
        <v>29</v>
      </c>
      <c r="DB22" s="277">
        <f t="shared" si="24"/>
        <v>0</v>
      </c>
      <c r="DC22" s="124" t="s">
        <v>29</v>
      </c>
      <c r="DD22" s="124" t="s">
        <v>29</v>
      </c>
      <c r="DE22" s="277">
        <f t="shared" si="25"/>
        <v>0</v>
      </c>
      <c r="DF22" s="124" t="s">
        <v>29</v>
      </c>
      <c r="DG22" s="124" t="s">
        <v>29</v>
      </c>
      <c r="DH22" s="277">
        <f t="shared" si="26"/>
        <v>0</v>
      </c>
      <c r="DI22" s="124" t="s">
        <v>29</v>
      </c>
      <c r="DJ22" s="124" t="s">
        <v>29</v>
      </c>
      <c r="DK22" s="277">
        <f t="shared" si="27"/>
        <v>0</v>
      </c>
      <c r="DL22" s="124" t="s">
        <v>29</v>
      </c>
      <c r="DM22" s="124" t="s">
        <v>29</v>
      </c>
      <c r="DN22" s="277">
        <f t="shared" si="28"/>
        <v>0</v>
      </c>
      <c r="DO22" s="124" t="s">
        <v>29</v>
      </c>
      <c r="DP22" s="124" t="s">
        <v>29</v>
      </c>
      <c r="DQ22" s="277">
        <f t="shared" si="29"/>
        <v>0</v>
      </c>
      <c r="DR22" s="124" t="s">
        <v>29</v>
      </c>
      <c r="DS22" s="124" t="s">
        <v>29</v>
      </c>
      <c r="DT22" s="277">
        <f t="shared" si="30"/>
        <v>0</v>
      </c>
      <c r="DU22" s="124" t="s">
        <v>29</v>
      </c>
      <c r="DV22" s="124" t="s">
        <v>29</v>
      </c>
      <c r="DW22" s="277">
        <f t="shared" si="31"/>
        <v>0</v>
      </c>
      <c r="DX22" s="124" t="s">
        <v>29</v>
      </c>
      <c r="DY22" s="124" t="s">
        <v>29</v>
      </c>
      <c r="DZ22" s="277">
        <f t="shared" si="32"/>
        <v>0</v>
      </c>
      <c r="EA22" s="124" t="s">
        <v>29</v>
      </c>
      <c r="EB22" s="124" t="s">
        <v>29</v>
      </c>
      <c r="EC22" s="277">
        <f t="shared" si="33"/>
        <v>0</v>
      </c>
      <c r="ED22" s="124" t="s">
        <v>29</v>
      </c>
      <c r="EE22" s="124" t="s">
        <v>29</v>
      </c>
      <c r="EF22" s="277">
        <f t="shared" si="34"/>
        <v>0</v>
      </c>
      <c r="EG22" s="124" t="s">
        <v>29</v>
      </c>
      <c r="EH22" s="124" t="s">
        <v>29</v>
      </c>
      <c r="EI22" s="277">
        <f t="shared" si="35"/>
        <v>0</v>
      </c>
      <c r="EJ22" s="124" t="s">
        <v>29</v>
      </c>
      <c r="EK22" s="124" t="s">
        <v>29</v>
      </c>
      <c r="EL22" s="277">
        <f t="shared" si="36"/>
        <v>0</v>
      </c>
      <c r="EM22" s="124" t="s">
        <v>29</v>
      </c>
      <c r="EN22" s="124" t="s">
        <v>29</v>
      </c>
      <c r="EO22" s="277">
        <f t="shared" si="37"/>
        <v>0</v>
      </c>
      <c r="EP22" s="124" t="s">
        <v>29</v>
      </c>
      <c r="EQ22" s="124" t="s">
        <v>29</v>
      </c>
    </row>
    <row r="23" spans="1:147">
      <c r="A23" s="125" t="s">
        <v>375</v>
      </c>
      <c r="B23" s="126" t="s">
        <v>376</v>
      </c>
      <c r="C23" s="122" t="s">
        <v>349</v>
      </c>
      <c r="D23" s="124">
        <f>[7]Расчет_тарифа_стр.1_3!D21</f>
        <v>89867.672808460906</v>
      </c>
      <c r="E23" s="124" t="s">
        <v>29</v>
      </c>
      <c r="F23" s="124" t="s">
        <v>29</v>
      </c>
      <c r="G23" s="124">
        <f>[7]Расчет_тарифа_стр.1_3!G21</f>
        <v>68655</v>
      </c>
      <c r="H23" s="124">
        <f>[7]Расчет_тарифа_стр.1_3!H21</f>
        <v>76534.923616440006</v>
      </c>
      <c r="I23" s="124" t="s">
        <v>29</v>
      </c>
      <c r="J23" s="124" t="s">
        <v>29</v>
      </c>
      <c r="K23" s="124">
        <f>[7]Расчет_тарифа_стр.1_3!K21</f>
        <v>0</v>
      </c>
      <c r="L23" s="124">
        <v>71641.544309361896</v>
      </c>
      <c r="M23" s="124" t="s">
        <v>29</v>
      </c>
      <c r="N23" s="124" t="s">
        <v>29</v>
      </c>
      <c r="O23" s="124">
        <v>81253.608779999995</v>
      </c>
      <c r="P23" s="124">
        <f t="shared" ref="P23:P66" si="50">O23-L23</f>
        <v>9612.064470638099</v>
      </c>
      <c r="Q23" s="124">
        <v>75457.540509982296</v>
      </c>
      <c r="R23" s="124" t="s">
        <v>29</v>
      </c>
      <c r="S23" s="124" t="s">
        <v>29</v>
      </c>
      <c r="T23" s="124">
        <v>80724.871289999995</v>
      </c>
      <c r="U23" s="124">
        <f t="shared" ref="U23:U66" si="51">T23-Q23</f>
        <v>5267.330780017699</v>
      </c>
      <c r="V23" s="124">
        <v>79476.796245884005</v>
      </c>
      <c r="W23" s="124" t="s">
        <v>29</v>
      </c>
      <c r="X23" s="124" t="s">
        <v>29</v>
      </c>
      <c r="Y23" s="124">
        <v>83710.138162721196</v>
      </c>
      <c r="Z23" s="124" t="s">
        <v>29</v>
      </c>
      <c r="AA23" s="124" t="s">
        <v>29</v>
      </c>
      <c r="AB23" s="124">
        <v>88168.969588841297</v>
      </c>
      <c r="AC23" s="124" t="s">
        <v>29</v>
      </c>
      <c r="AD23" s="124" t="s">
        <v>29</v>
      </c>
      <c r="AE23" s="124">
        <f t="shared" si="4"/>
        <v>88168.969588841297</v>
      </c>
      <c r="AF23" s="124" t="s">
        <v>29</v>
      </c>
      <c r="AG23" s="124" t="s">
        <v>29</v>
      </c>
      <c r="AH23" s="124">
        <f t="shared" si="5"/>
        <v>88168.969588841297</v>
      </c>
      <c r="AI23" s="124" t="s">
        <v>29</v>
      </c>
      <c r="AJ23" s="124" t="s">
        <v>29</v>
      </c>
      <c r="AK23" s="124">
        <f t="shared" si="6"/>
        <v>88168.969588841297</v>
      </c>
      <c r="AL23" s="124" t="s">
        <v>29</v>
      </c>
      <c r="AM23" s="124" t="s">
        <v>29</v>
      </c>
      <c r="AN23" s="124">
        <f t="shared" si="7"/>
        <v>88168.969588841297</v>
      </c>
      <c r="AO23" s="124" t="s">
        <v>29</v>
      </c>
      <c r="AP23" s="124" t="s">
        <v>29</v>
      </c>
      <c r="AQ23" s="124">
        <f t="shared" si="8"/>
        <v>88168.969588841297</v>
      </c>
      <c r="AR23" s="124" t="s">
        <v>29</v>
      </c>
      <c r="AS23" s="124" t="s">
        <v>29</v>
      </c>
      <c r="AT23" s="124">
        <f t="shared" si="9"/>
        <v>88168.969588841297</v>
      </c>
      <c r="AU23" s="124" t="s">
        <v>29</v>
      </c>
      <c r="AV23" s="124" t="s">
        <v>29</v>
      </c>
      <c r="AW23" s="124">
        <f t="shared" si="10"/>
        <v>88168.969588841297</v>
      </c>
      <c r="AX23" s="124" t="s">
        <v>29</v>
      </c>
      <c r="AY23" s="124" t="s">
        <v>29</v>
      </c>
      <c r="AZ23" s="124">
        <f t="shared" si="11"/>
        <v>88168.969588841297</v>
      </c>
      <c r="BA23" s="124" t="s">
        <v>29</v>
      </c>
      <c r="BB23" s="124" t="s">
        <v>29</v>
      </c>
      <c r="BC23" s="124">
        <f t="shared" si="12"/>
        <v>88168.969588841297</v>
      </c>
      <c r="BD23" s="124" t="s">
        <v>29</v>
      </c>
      <c r="BE23" s="124" t="s">
        <v>29</v>
      </c>
      <c r="BF23" s="124">
        <f t="shared" si="13"/>
        <v>88168.969588841297</v>
      </c>
      <c r="BG23" s="124" t="s">
        <v>29</v>
      </c>
      <c r="BH23" s="124" t="s">
        <v>29</v>
      </c>
      <c r="BI23" s="124">
        <f t="shared" si="14"/>
        <v>88168.969588841297</v>
      </c>
      <c r="BJ23" s="124" t="s">
        <v>29</v>
      </c>
      <c r="BK23" s="124" t="s">
        <v>29</v>
      </c>
      <c r="BL23" s="124">
        <f t="shared" si="15"/>
        <v>88168.969588841297</v>
      </c>
      <c r="BM23" s="124" t="s">
        <v>29</v>
      </c>
      <c r="BN23" s="124" t="s">
        <v>29</v>
      </c>
      <c r="BO23" s="124">
        <f t="shared" si="16"/>
        <v>88168.969588841297</v>
      </c>
      <c r="BP23" s="124" t="s">
        <v>29</v>
      </c>
      <c r="BQ23" s="124" t="s">
        <v>29</v>
      </c>
      <c r="BR23" s="124">
        <f t="shared" si="17"/>
        <v>88168.969588841297</v>
      </c>
      <c r="BS23" s="124" t="s">
        <v>29</v>
      </c>
      <c r="BT23" s="124" t="s">
        <v>29</v>
      </c>
      <c r="BU23" s="124">
        <f t="shared" si="18"/>
        <v>88168.969588841297</v>
      </c>
      <c r="BV23" s="124" t="s">
        <v>29</v>
      </c>
      <c r="BW23" s="124" t="s">
        <v>29</v>
      </c>
      <c r="BX23" s="276">
        <f>[7]Расчет_тарифа_стр.1_3!AF21</f>
        <v>30104.031127179202</v>
      </c>
      <c r="BY23" s="277" t="str">
        <f>[7]Расчет_тарифа_стр.1_3!AG21</f>
        <v>х</v>
      </c>
      <c r="BZ23" s="277" t="str">
        <f>[7]Расчет_тарифа_стр.1_3!AH21</f>
        <v>х</v>
      </c>
      <c r="CA23" s="277">
        <f>[7]Расчет_тарифа_стр.1_3!AI21</f>
        <v>27237</v>
      </c>
      <c r="CB23" s="277">
        <f>[7]Расчет_тарифа_стр.1_3!AJ21</f>
        <v>32313.403269910101</v>
      </c>
      <c r="CC23" s="277" t="str">
        <f>[7]Расчет_тарифа_стр.1_3!AK21</f>
        <v>х</v>
      </c>
      <c r="CD23" s="277" t="str">
        <f>[7]Расчет_тарифа_стр.1_3!AL21</f>
        <v>х</v>
      </c>
      <c r="CE23" s="277">
        <f>[7]Расчет_тарифа_стр.1_3!AM21</f>
        <v>0</v>
      </c>
      <c r="CF23" s="277">
        <v>31763.754668592399</v>
      </c>
      <c r="CG23" s="124" t="s">
        <v>29</v>
      </c>
      <c r="CH23" s="124" t="s">
        <v>29</v>
      </c>
      <c r="CI23" s="124">
        <v>31923.352040000002</v>
      </c>
      <c r="CJ23" s="277">
        <f t="shared" ref="CJ23:CJ66" si="52">CI23-CF23</f>
        <v>159.59737140760262</v>
      </c>
      <c r="CK23" s="277">
        <v>33455.655203418697</v>
      </c>
      <c r="CL23" s="124" t="s">
        <v>29</v>
      </c>
      <c r="CM23" s="124" t="s">
        <v>29</v>
      </c>
      <c r="CN23" s="124">
        <v>28542.144929999999</v>
      </c>
      <c r="CO23" s="124">
        <f t="shared" ref="CO23:CO66" si="53">CN23-CK23</f>
        <v>-4913.5102734186985</v>
      </c>
      <c r="CP23" s="277">
        <v>35237.675040878101</v>
      </c>
      <c r="CQ23" s="124" t="s">
        <v>29</v>
      </c>
      <c r="CR23" s="124" t="s">
        <v>29</v>
      </c>
      <c r="CS23" s="277">
        <v>37114.614397378202</v>
      </c>
      <c r="CT23" s="124" t="s">
        <v>29</v>
      </c>
      <c r="CU23" s="124" t="s">
        <v>29</v>
      </c>
      <c r="CV23" s="277">
        <v>39091.529173479401</v>
      </c>
      <c r="CW23" s="124" t="s">
        <v>29</v>
      </c>
      <c r="CX23" s="124" t="s">
        <v>29</v>
      </c>
      <c r="CY23" s="277">
        <f t="shared" si="23"/>
        <v>39091.529173479401</v>
      </c>
      <c r="CZ23" s="124" t="s">
        <v>29</v>
      </c>
      <c r="DA23" s="124" t="s">
        <v>29</v>
      </c>
      <c r="DB23" s="277">
        <f t="shared" si="24"/>
        <v>39091.529173479401</v>
      </c>
      <c r="DC23" s="124" t="s">
        <v>29</v>
      </c>
      <c r="DD23" s="124" t="s">
        <v>29</v>
      </c>
      <c r="DE23" s="277">
        <f t="shared" si="25"/>
        <v>39091.529173479401</v>
      </c>
      <c r="DF23" s="124" t="s">
        <v>29</v>
      </c>
      <c r="DG23" s="124" t="s">
        <v>29</v>
      </c>
      <c r="DH23" s="277">
        <f t="shared" si="26"/>
        <v>39091.529173479401</v>
      </c>
      <c r="DI23" s="124" t="s">
        <v>29</v>
      </c>
      <c r="DJ23" s="124" t="s">
        <v>29</v>
      </c>
      <c r="DK23" s="277">
        <f t="shared" si="27"/>
        <v>39091.529173479401</v>
      </c>
      <c r="DL23" s="124" t="s">
        <v>29</v>
      </c>
      <c r="DM23" s="124" t="s">
        <v>29</v>
      </c>
      <c r="DN23" s="277">
        <f t="shared" si="28"/>
        <v>39091.529173479401</v>
      </c>
      <c r="DO23" s="124" t="s">
        <v>29</v>
      </c>
      <c r="DP23" s="124" t="s">
        <v>29</v>
      </c>
      <c r="DQ23" s="277">
        <f t="shared" si="29"/>
        <v>39091.529173479401</v>
      </c>
      <c r="DR23" s="124" t="s">
        <v>29</v>
      </c>
      <c r="DS23" s="124" t="s">
        <v>29</v>
      </c>
      <c r="DT23" s="277">
        <f t="shared" si="30"/>
        <v>39091.529173479401</v>
      </c>
      <c r="DU23" s="124" t="s">
        <v>29</v>
      </c>
      <c r="DV23" s="124" t="s">
        <v>29</v>
      </c>
      <c r="DW23" s="277">
        <f t="shared" si="31"/>
        <v>39091.529173479401</v>
      </c>
      <c r="DX23" s="124" t="s">
        <v>29</v>
      </c>
      <c r="DY23" s="124" t="s">
        <v>29</v>
      </c>
      <c r="DZ23" s="277">
        <f t="shared" si="32"/>
        <v>39091.529173479401</v>
      </c>
      <c r="EA23" s="124" t="s">
        <v>29</v>
      </c>
      <c r="EB23" s="124" t="s">
        <v>29</v>
      </c>
      <c r="EC23" s="277">
        <f t="shared" si="33"/>
        <v>39091.529173479401</v>
      </c>
      <c r="ED23" s="124" t="s">
        <v>29</v>
      </c>
      <c r="EE23" s="124" t="s">
        <v>29</v>
      </c>
      <c r="EF23" s="277">
        <f t="shared" si="34"/>
        <v>39091.529173479401</v>
      </c>
      <c r="EG23" s="124" t="s">
        <v>29</v>
      </c>
      <c r="EH23" s="124" t="s">
        <v>29</v>
      </c>
      <c r="EI23" s="277">
        <f t="shared" si="35"/>
        <v>39091.529173479401</v>
      </c>
      <c r="EJ23" s="124" t="s">
        <v>29</v>
      </c>
      <c r="EK23" s="124" t="s">
        <v>29</v>
      </c>
      <c r="EL23" s="277">
        <f t="shared" si="36"/>
        <v>39091.529173479401</v>
      </c>
      <c r="EM23" s="124" t="s">
        <v>29</v>
      </c>
      <c r="EN23" s="124" t="s">
        <v>29</v>
      </c>
      <c r="EO23" s="277">
        <f t="shared" si="37"/>
        <v>39091.529173479401</v>
      </c>
      <c r="EP23" s="124" t="s">
        <v>29</v>
      </c>
      <c r="EQ23" s="124" t="s">
        <v>29</v>
      </c>
    </row>
    <row r="24" spans="1:147" ht="30">
      <c r="A24" s="125" t="s">
        <v>377</v>
      </c>
      <c r="B24" s="126" t="s">
        <v>378</v>
      </c>
      <c r="C24" s="122" t="s">
        <v>349</v>
      </c>
      <c r="D24" s="124">
        <f>[7]Расчет_тарифа_стр.1_3!D22</f>
        <v>36498.985689387497</v>
      </c>
      <c r="E24" s="124" t="s">
        <v>29</v>
      </c>
      <c r="F24" s="124" t="s">
        <v>29</v>
      </c>
      <c r="G24" s="124">
        <f>[7]Расчет_тарифа_стр.1_3!G22</f>
        <v>33427</v>
      </c>
      <c r="H24" s="124">
        <f>[7]Расчет_тарифа_стр.1_3!H22</f>
        <v>39989.890185885299</v>
      </c>
      <c r="I24" s="124" t="s">
        <v>29</v>
      </c>
      <c r="J24" s="124" t="s">
        <v>29</v>
      </c>
      <c r="K24" s="124">
        <f>[7]Расчет_тарифа_стр.1_3!K22</f>
        <v>0</v>
      </c>
      <c r="L24" s="124">
        <f t="shared" ref="L24:Q24" si="54">L25+L28+L37+L41+L43</f>
        <v>46060.102360729667</v>
      </c>
      <c r="M24" s="124" t="s">
        <v>29</v>
      </c>
      <c r="N24" s="124" t="s">
        <v>29</v>
      </c>
      <c r="O24" s="124">
        <f t="shared" si="54"/>
        <v>41411.534974054048</v>
      </c>
      <c r="P24" s="124">
        <f t="shared" si="50"/>
        <v>-4648.5673866756188</v>
      </c>
      <c r="Q24" s="124">
        <f t="shared" si="54"/>
        <v>48496.677242630947</v>
      </c>
      <c r="R24" s="124" t="s">
        <v>29</v>
      </c>
      <c r="S24" s="124" t="s">
        <v>29</v>
      </c>
      <c r="T24" s="124">
        <f t="shared" ref="T24:Y24" si="55">T25+T28+T37+T41+T43</f>
        <v>35913.002723777361</v>
      </c>
      <c r="U24" s="124">
        <f t="shared" si="51"/>
        <v>-12583.674518853586</v>
      </c>
      <c r="V24" s="124">
        <f t="shared" si="55"/>
        <v>50649.250943672421</v>
      </c>
      <c r="W24" s="124" t="s">
        <v>29</v>
      </c>
      <c r="X24" s="124" t="s">
        <v>29</v>
      </c>
      <c r="Y24" s="124">
        <f t="shared" si="55"/>
        <v>52528.301159900817</v>
      </c>
      <c r="Z24" s="124" t="s">
        <v>29</v>
      </c>
      <c r="AA24" s="124" t="s">
        <v>29</v>
      </c>
      <c r="AB24" s="124">
        <f>AB25+AB28+AB37+AB41+AB43</f>
        <v>53786.275156969714</v>
      </c>
      <c r="AC24" s="124" t="s">
        <v>29</v>
      </c>
      <c r="AD24" s="124" t="s">
        <v>29</v>
      </c>
      <c r="AE24" s="124">
        <f t="shared" si="4"/>
        <v>53786.275156969714</v>
      </c>
      <c r="AF24" s="124" t="s">
        <v>29</v>
      </c>
      <c r="AG24" s="124" t="s">
        <v>29</v>
      </c>
      <c r="AH24" s="124">
        <f t="shared" si="5"/>
        <v>53786.275156969714</v>
      </c>
      <c r="AI24" s="124" t="s">
        <v>29</v>
      </c>
      <c r="AJ24" s="124" t="s">
        <v>29</v>
      </c>
      <c r="AK24" s="124">
        <f t="shared" si="6"/>
        <v>53786.275156969714</v>
      </c>
      <c r="AL24" s="124" t="s">
        <v>29</v>
      </c>
      <c r="AM24" s="124" t="s">
        <v>29</v>
      </c>
      <c r="AN24" s="124">
        <f t="shared" si="7"/>
        <v>53786.275156969714</v>
      </c>
      <c r="AO24" s="124" t="s">
        <v>29</v>
      </c>
      <c r="AP24" s="124" t="s">
        <v>29</v>
      </c>
      <c r="AQ24" s="124">
        <f t="shared" si="8"/>
        <v>53786.275156969714</v>
      </c>
      <c r="AR24" s="124" t="s">
        <v>29</v>
      </c>
      <c r="AS24" s="124" t="s">
        <v>29</v>
      </c>
      <c r="AT24" s="124">
        <f t="shared" si="9"/>
        <v>53786.275156969714</v>
      </c>
      <c r="AU24" s="124" t="s">
        <v>29</v>
      </c>
      <c r="AV24" s="124" t="s">
        <v>29</v>
      </c>
      <c r="AW24" s="124">
        <f t="shared" si="10"/>
        <v>53786.275156969714</v>
      </c>
      <c r="AX24" s="124" t="s">
        <v>29</v>
      </c>
      <c r="AY24" s="124" t="s">
        <v>29</v>
      </c>
      <c r="AZ24" s="124">
        <f t="shared" si="11"/>
        <v>53786.275156969714</v>
      </c>
      <c r="BA24" s="124" t="s">
        <v>29</v>
      </c>
      <c r="BB24" s="124" t="s">
        <v>29</v>
      </c>
      <c r="BC24" s="124">
        <f t="shared" si="12"/>
        <v>53786.275156969714</v>
      </c>
      <c r="BD24" s="124" t="s">
        <v>29</v>
      </c>
      <c r="BE24" s="124" t="s">
        <v>29</v>
      </c>
      <c r="BF24" s="124">
        <f t="shared" si="13"/>
        <v>53786.275156969714</v>
      </c>
      <c r="BG24" s="124" t="s">
        <v>29</v>
      </c>
      <c r="BH24" s="124" t="s">
        <v>29</v>
      </c>
      <c r="BI24" s="124">
        <f t="shared" si="14"/>
        <v>53786.275156969714</v>
      </c>
      <c r="BJ24" s="124" t="s">
        <v>29</v>
      </c>
      <c r="BK24" s="124" t="s">
        <v>29</v>
      </c>
      <c r="BL24" s="124">
        <f t="shared" si="15"/>
        <v>53786.275156969714</v>
      </c>
      <c r="BM24" s="124" t="s">
        <v>29</v>
      </c>
      <c r="BN24" s="124" t="s">
        <v>29</v>
      </c>
      <c r="BO24" s="124">
        <f t="shared" si="16"/>
        <v>53786.275156969714</v>
      </c>
      <c r="BP24" s="124" t="s">
        <v>29</v>
      </c>
      <c r="BQ24" s="124" t="s">
        <v>29</v>
      </c>
      <c r="BR24" s="124">
        <f t="shared" si="17"/>
        <v>53786.275156969714</v>
      </c>
      <c r="BS24" s="124" t="s">
        <v>29</v>
      </c>
      <c r="BT24" s="124" t="s">
        <v>29</v>
      </c>
      <c r="BU24" s="124">
        <f t="shared" si="18"/>
        <v>53786.275156969714</v>
      </c>
      <c r="BV24" s="124" t="s">
        <v>29</v>
      </c>
      <c r="BW24" s="124" t="s">
        <v>29</v>
      </c>
      <c r="BX24" s="124">
        <f>[7]Расчет_тарифа_стр.1_3!AF22</f>
        <v>43320.681298479401</v>
      </c>
      <c r="BY24" s="124" t="str">
        <f>[7]Расчет_тарифа_стр.1_3!AG22</f>
        <v>х</v>
      </c>
      <c r="BZ24" s="124" t="str">
        <f>[7]Расчет_тарифа_стр.1_3!AH22</f>
        <v>х</v>
      </c>
      <c r="CA24" s="124">
        <f>[7]Расчет_тарифа_стр.1_3!AI22</f>
        <v>37416</v>
      </c>
      <c r="CB24" s="124">
        <f>[7]Расчет_тарифа_стр.1_3!AJ22</f>
        <v>48798.761625408799</v>
      </c>
      <c r="CC24" s="124" t="str">
        <f>[7]Расчет_тарифа_стр.1_3!AK22</f>
        <v>х</v>
      </c>
      <c r="CD24" s="124" t="str">
        <f>[7]Расчет_тарифа_стр.1_3!AL22</f>
        <v>х</v>
      </c>
      <c r="CE24" s="124">
        <f>[7]Расчет_тарифа_стр.1_3!AM22</f>
        <v>0</v>
      </c>
      <c r="CF24" s="124">
        <f t="shared" ref="CF24:CK24" si="56">CF25+CF28+CF37+CF41+CF43</f>
        <v>27736.218350122934</v>
      </c>
      <c r="CG24" s="124" t="s">
        <v>29</v>
      </c>
      <c r="CH24" s="124" t="s">
        <v>29</v>
      </c>
      <c r="CI24" s="124">
        <f t="shared" si="56"/>
        <v>29388.274732478469</v>
      </c>
      <c r="CJ24" s="124">
        <f t="shared" si="52"/>
        <v>1652.0563823555349</v>
      </c>
      <c r="CK24" s="124">
        <f t="shared" si="56"/>
        <v>29399.485976199634</v>
      </c>
      <c r="CL24" s="124" t="s">
        <v>29</v>
      </c>
      <c r="CM24" s="124" t="s">
        <v>29</v>
      </c>
      <c r="CN24" s="124">
        <f t="shared" ref="CN24:CS24" si="57">CN25+CN28+CN37+CN41+CN43</f>
        <v>32042.874172941767</v>
      </c>
      <c r="CO24" s="124">
        <f t="shared" si="53"/>
        <v>2643.388196742133</v>
      </c>
      <c r="CP24" s="124">
        <f t="shared" si="57"/>
        <v>31275.65908102399</v>
      </c>
      <c r="CQ24" s="124" t="s">
        <v>29</v>
      </c>
      <c r="CR24" s="124" t="s">
        <v>29</v>
      </c>
      <c r="CS24" s="124">
        <f t="shared" si="57"/>
        <v>32986.110343342123</v>
      </c>
      <c r="CT24" s="124" t="s">
        <v>29</v>
      </c>
      <c r="CU24" s="124" t="s">
        <v>29</v>
      </c>
      <c r="CV24" s="124">
        <f>CV25+CV28+CV37+CV41+CV43</f>
        <v>34233.845929446114</v>
      </c>
      <c r="CW24" s="124" t="s">
        <v>29</v>
      </c>
      <c r="CX24" s="124" t="s">
        <v>29</v>
      </c>
      <c r="CY24" s="277">
        <f t="shared" si="23"/>
        <v>34233.845929446114</v>
      </c>
      <c r="CZ24" s="124" t="s">
        <v>29</v>
      </c>
      <c r="DA24" s="124" t="s">
        <v>29</v>
      </c>
      <c r="DB24" s="277">
        <f t="shared" si="24"/>
        <v>34233.845929446114</v>
      </c>
      <c r="DC24" s="124" t="s">
        <v>29</v>
      </c>
      <c r="DD24" s="124" t="s">
        <v>29</v>
      </c>
      <c r="DE24" s="277">
        <f t="shared" si="25"/>
        <v>34233.845929446114</v>
      </c>
      <c r="DF24" s="124" t="s">
        <v>29</v>
      </c>
      <c r="DG24" s="124" t="s">
        <v>29</v>
      </c>
      <c r="DH24" s="277">
        <f t="shared" si="26"/>
        <v>34233.845929446114</v>
      </c>
      <c r="DI24" s="124" t="s">
        <v>29</v>
      </c>
      <c r="DJ24" s="124" t="s">
        <v>29</v>
      </c>
      <c r="DK24" s="277">
        <f t="shared" si="27"/>
        <v>34233.845929446114</v>
      </c>
      <c r="DL24" s="124" t="s">
        <v>29</v>
      </c>
      <c r="DM24" s="124" t="s">
        <v>29</v>
      </c>
      <c r="DN24" s="277">
        <f t="shared" si="28"/>
        <v>34233.845929446114</v>
      </c>
      <c r="DO24" s="124" t="s">
        <v>29</v>
      </c>
      <c r="DP24" s="124" t="s">
        <v>29</v>
      </c>
      <c r="DQ24" s="277">
        <f t="shared" si="29"/>
        <v>34233.845929446114</v>
      </c>
      <c r="DR24" s="124" t="s">
        <v>29</v>
      </c>
      <c r="DS24" s="124" t="s">
        <v>29</v>
      </c>
      <c r="DT24" s="277">
        <f t="shared" si="30"/>
        <v>34233.845929446114</v>
      </c>
      <c r="DU24" s="124" t="s">
        <v>29</v>
      </c>
      <c r="DV24" s="124" t="s">
        <v>29</v>
      </c>
      <c r="DW24" s="277">
        <f t="shared" si="31"/>
        <v>34233.845929446114</v>
      </c>
      <c r="DX24" s="124" t="s">
        <v>29</v>
      </c>
      <c r="DY24" s="124" t="s">
        <v>29</v>
      </c>
      <c r="DZ24" s="277">
        <f t="shared" si="32"/>
        <v>34233.845929446114</v>
      </c>
      <c r="EA24" s="124" t="s">
        <v>29</v>
      </c>
      <c r="EB24" s="124" t="s">
        <v>29</v>
      </c>
      <c r="EC24" s="277">
        <f t="shared" si="33"/>
        <v>34233.845929446114</v>
      </c>
      <c r="ED24" s="124" t="s">
        <v>29</v>
      </c>
      <c r="EE24" s="124" t="s">
        <v>29</v>
      </c>
      <c r="EF24" s="277">
        <f t="shared" si="34"/>
        <v>34233.845929446114</v>
      </c>
      <c r="EG24" s="124" t="s">
        <v>29</v>
      </c>
      <c r="EH24" s="124" t="s">
        <v>29</v>
      </c>
      <c r="EI24" s="277">
        <f t="shared" si="35"/>
        <v>34233.845929446114</v>
      </c>
      <c r="EJ24" s="124" t="s">
        <v>29</v>
      </c>
      <c r="EK24" s="124" t="s">
        <v>29</v>
      </c>
      <c r="EL24" s="277">
        <f t="shared" si="36"/>
        <v>34233.845929446114</v>
      </c>
      <c r="EM24" s="124" t="s">
        <v>29</v>
      </c>
      <c r="EN24" s="124" t="s">
        <v>29</v>
      </c>
      <c r="EO24" s="277">
        <f t="shared" si="37"/>
        <v>34233.845929446114</v>
      </c>
      <c r="EP24" s="124" t="s">
        <v>29</v>
      </c>
      <c r="EQ24" s="124" t="s">
        <v>29</v>
      </c>
    </row>
    <row r="25" spans="1:147" ht="45">
      <c r="A25" s="125" t="s">
        <v>379</v>
      </c>
      <c r="B25" s="126" t="s">
        <v>380</v>
      </c>
      <c r="C25" s="122" t="s">
        <v>349</v>
      </c>
      <c r="D25" s="124">
        <f>[7]НР_стр.1_2!D13</f>
        <v>12980.157247880001</v>
      </c>
      <c r="E25" s="124" t="s">
        <v>29</v>
      </c>
      <c r="F25" s="124" t="s">
        <v>29</v>
      </c>
      <c r="G25" s="124">
        <f>[7]НР_стр.1_2!E13</f>
        <v>12032</v>
      </c>
      <c r="H25" s="124">
        <f>[7]НР_стр.1_2!F13</f>
        <v>13986.102252500001</v>
      </c>
      <c r="I25" s="124" t="s">
        <v>29</v>
      </c>
      <c r="J25" s="124" t="s">
        <v>29</v>
      </c>
      <c r="K25" s="124">
        <f>[7]НР_стр.1_2!G13</f>
        <v>0</v>
      </c>
      <c r="L25" s="124">
        <f t="shared" ref="L25:Q25" si="58">L26+L27</f>
        <v>7541.5103818549997</v>
      </c>
      <c r="M25" s="124" t="s">
        <v>29</v>
      </c>
      <c r="N25" s="124" t="s">
        <v>29</v>
      </c>
      <c r="O25" s="124">
        <f t="shared" si="58"/>
        <v>440.39537999999999</v>
      </c>
      <c r="P25" s="124">
        <f t="shared" si="50"/>
        <v>-7101.1150018549997</v>
      </c>
      <c r="Q25" s="124">
        <f t="shared" si="58"/>
        <v>7858.1707971291999</v>
      </c>
      <c r="R25" s="124" t="s">
        <v>29</v>
      </c>
      <c r="S25" s="124" t="s">
        <v>29</v>
      </c>
      <c r="T25" s="124">
        <f t="shared" ref="T25:Y25" si="59">T26+T27</f>
        <v>539.80962</v>
      </c>
      <c r="U25" s="124">
        <f t="shared" si="51"/>
        <v>-7318.3611771291999</v>
      </c>
      <c r="V25" s="124">
        <f t="shared" si="59"/>
        <v>8188.0526290143998</v>
      </c>
      <c r="W25" s="124" t="s">
        <v>29</v>
      </c>
      <c r="X25" s="124" t="s">
        <v>29</v>
      </c>
      <c r="Y25" s="124">
        <f t="shared" si="59"/>
        <v>8531.7052691749523</v>
      </c>
      <c r="Z25" s="124" t="s">
        <v>29</v>
      </c>
      <c r="AA25" s="124" t="s">
        <v>29</v>
      </c>
      <c r="AB25" s="124">
        <f>AB26+AB27</f>
        <v>8889.7008447369462</v>
      </c>
      <c r="AC25" s="124" t="s">
        <v>29</v>
      </c>
      <c r="AD25" s="124" t="s">
        <v>29</v>
      </c>
      <c r="AE25" s="124">
        <f t="shared" si="4"/>
        <v>8889.7008447369462</v>
      </c>
      <c r="AF25" s="124" t="s">
        <v>29</v>
      </c>
      <c r="AG25" s="124" t="s">
        <v>29</v>
      </c>
      <c r="AH25" s="124">
        <f t="shared" si="5"/>
        <v>8889.7008447369462</v>
      </c>
      <c r="AI25" s="124" t="s">
        <v>29</v>
      </c>
      <c r="AJ25" s="124" t="s">
        <v>29</v>
      </c>
      <c r="AK25" s="124">
        <f t="shared" si="6"/>
        <v>8889.7008447369462</v>
      </c>
      <c r="AL25" s="124" t="s">
        <v>29</v>
      </c>
      <c r="AM25" s="124" t="s">
        <v>29</v>
      </c>
      <c r="AN25" s="124">
        <f t="shared" si="7"/>
        <v>8889.7008447369462</v>
      </c>
      <c r="AO25" s="124" t="s">
        <v>29</v>
      </c>
      <c r="AP25" s="124" t="s">
        <v>29</v>
      </c>
      <c r="AQ25" s="124">
        <f t="shared" si="8"/>
        <v>8889.7008447369462</v>
      </c>
      <c r="AR25" s="124" t="s">
        <v>29</v>
      </c>
      <c r="AS25" s="124" t="s">
        <v>29</v>
      </c>
      <c r="AT25" s="124">
        <f t="shared" si="9"/>
        <v>8889.7008447369462</v>
      </c>
      <c r="AU25" s="124" t="s">
        <v>29</v>
      </c>
      <c r="AV25" s="124" t="s">
        <v>29</v>
      </c>
      <c r="AW25" s="124">
        <f t="shared" si="10"/>
        <v>8889.7008447369462</v>
      </c>
      <c r="AX25" s="124" t="s">
        <v>29</v>
      </c>
      <c r="AY25" s="124" t="s">
        <v>29</v>
      </c>
      <c r="AZ25" s="124">
        <f t="shared" si="11"/>
        <v>8889.7008447369462</v>
      </c>
      <c r="BA25" s="124" t="s">
        <v>29</v>
      </c>
      <c r="BB25" s="124" t="s">
        <v>29</v>
      </c>
      <c r="BC25" s="124">
        <f t="shared" si="12"/>
        <v>8889.7008447369462</v>
      </c>
      <c r="BD25" s="124" t="s">
        <v>29</v>
      </c>
      <c r="BE25" s="124" t="s">
        <v>29</v>
      </c>
      <c r="BF25" s="124">
        <f t="shared" si="13"/>
        <v>8889.7008447369462</v>
      </c>
      <c r="BG25" s="124" t="s">
        <v>29</v>
      </c>
      <c r="BH25" s="124" t="s">
        <v>29</v>
      </c>
      <c r="BI25" s="124">
        <f t="shared" si="14"/>
        <v>8889.7008447369462</v>
      </c>
      <c r="BJ25" s="124" t="s">
        <v>29</v>
      </c>
      <c r="BK25" s="124" t="s">
        <v>29</v>
      </c>
      <c r="BL25" s="124">
        <f t="shared" si="15"/>
        <v>8889.7008447369462</v>
      </c>
      <c r="BM25" s="124" t="s">
        <v>29</v>
      </c>
      <c r="BN25" s="124" t="s">
        <v>29</v>
      </c>
      <c r="BO25" s="124">
        <f t="shared" si="16"/>
        <v>8889.7008447369462</v>
      </c>
      <c r="BP25" s="124" t="s">
        <v>29</v>
      </c>
      <c r="BQ25" s="124" t="s">
        <v>29</v>
      </c>
      <c r="BR25" s="124">
        <f t="shared" si="17"/>
        <v>8889.7008447369462</v>
      </c>
      <c r="BS25" s="124" t="s">
        <v>29</v>
      </c>
      <c r="BT25" s="124" t="s">
        <v>29</v>
      </c>
      <c r="BU25" s="124">
        <f t="shared" si="18"/>
        <v>8889.7008447369462</v>
      </c>
      <c r="BV25" s="124" t="s">
        <v>29</v>
      </c>
      <c r="BW25" s="124" t="s">
        <v>29</v>
      </c>
      <c r="BX25" s="124">
        <f>[7]НР_стр.1_2!AB13</f>
        <v>11656.6083927115</v>
      </c>
      <c r="BY25" s="124" t="s">
        <v>29</v>
      </c>
      <c r="BZ25" s="124" t="s">
        <v>29</v>
      </c>
      <c r="CA25" s="124">
        <f>[7]НР_стр.1_2!AC13</f>
        <v>11128</v>
      </c>
      <c r="CB25" s="124">
        <f>[7]НР_стр.1_2!AD13</f>
        <v>12072.9</v>
      </c>
      <c r="CC25" s="124" t="s">
        <v>29</v>
      </c>
      <c r="CD25" s="124" t="s">
        <v>29</v>
      </c>
      <c r="CE25" s="124">
        <f>[7]НР_стр.1_2!AE13</f>
        <v>0</v>
      </c>
      <c r="CF25" s="124">
        <v>11572.8083952</v>
      </c>
      <c r="CG25" s="124" t="s">
        <v>29</v>
      </c>
      <c r="CH25" s="124" t="s">
        <v>29</v>
      </c>
      <c r="CI25" s="124">
        <v>9231.5905000000002</v>
      </c>
      <c r="CJ25" s="124">
        <f t="shared" si="52"/>
        <v>-2341.2178951999995</v>
      </c>
      <c r="CK25" s="124">
        <v>12035.720731007999</v>
      </c>
      <c r="CL25" s="124" t="s">
        <v>29</v>
      </c>
      <c r="CM25" s="124" t="s">
        <v>29</v>
      </c>
      <c r="CN25" s="124">
        <f>CN26+CN27</f>
        <v>11836.052600000001</v>
      </c>
      <c r="CO25" s="124">
        <f t="shared" si="53"/>
        <v>-199.66813100799845</v>
      </c>
      <c r="CP25" s="124">
        <v>12517.149560248299</v>
      </c>
      <c r="CQ25" s="124" t="s">
        <v>29</v>
      </c>
      <c r="CR25" s="124" t="s">
        <v>29</v>
      </c>
      <c r="CS25" s="124">
        <v>13017.8355426583</v>
      </c>
      <c r="CT25" s="124" t="s">
        <v>29</v>
      </c>
      <c r="CU25" s="124" t="s">
        <v>29</v>
      </c>
      <c r="CV25" s="124">
        <v>13538.5489643646</v>
      </c>
      <c r="CW25" s="124" t="s">
        <v>29</v>
      </c>
      <c r="CX25" s="124" t="s">
        <v>29</v>
      </c>
      <c r="CY25" s="277">
        <f t="shared" si="23"/>
        <v>13538.5489643646</v>
      </c>
      <c r="CZ25" s="124" t="s">
        <v>29</v>
      </c>
      <c r="DA25" s="124" t="s">
        <v>29</v>
      </c>
      <c r="DB25" s="277">
        <f t="shared" si="24"/>
        <v>13538.5489643646</v>
      </c>
      <c r="DC25" s="124" t="s">
        <v>29</v>
      </c>
      <c r="DD25" s="124" t="s">
        <v>29</v>
      </c>
      <c r="DE25" s="277">
        <f t="shared" si="25"/>
        <v>13538.5489643646</v>
      </c>
      <c r="DF25" s="124" t="s">
        <v>29</v>
      </c>
      <c r="DG25" s="124" t="s">
        <v>29</v>
      </c>
      <c r="DH25" s="277">
        <f t="shared" si="26"/>
        <v>13538.5489643646</v>
      </c>
      <c r="DI25" s="124" t="s">
        <v>29</v>
      </c>
      <c r="DJ25" s="124" t="s">
        <v>29</v>
      </c>
      <c r="DK25" s="277">
        <f t="shared" si="27"/>
        <v>13538.5489643646</v>
      </c>
      <c r="DL25" s="124" t="s">
        <v>29</v>
      </c>
      <c r="DM25" s="124" t="s">
        <v>29</v>
      </c>
      <c r="DN25" s="277">
        <f t="shared" si="28"/>
        <v>13538.5489643646</v>
      </c>
      <c r="DO25" s="124" t="s">
        <v>29</v>
      </c>
      <c r="DP25" s="124" t="s">
        <v>29</v>
      </c>
      <c r="DQ25" s="277">
        <f t="shared" si="29"/>
        <v>13538.5489643646</v>
      </c>
      <c r="DR25" s="124" t="s">
        <v>29</v>
      </c>
      <c r="DS25" s="124" t="s">
        <v>29</v>
      </c>
      <c r="DT25" s="277">
        <f t="shared" si="30"/>
        <v>13538.5489643646</v>
      </c>
      <c r="DU25" s="124" t="s">
        <v>29</v>
      </c>
      <c r="DV25" s="124" t="s">
        <v>29</v>
      </c>
      <c r="DW25" s="277">
        <f t="shared" si="31"/>
        <v>13538.5489643646</v>
      </c>
      <c r="DX25" s="124" t="s">
        <v>29</v>
      </c>
      <c r="DY25" s="124" t="s">
        <v>29</v>
      </c>
      <c r="DZ25" s="277">
        <f t="shared" si="32"/>
        <v>13538.5489643646</v>
      </c>
      <c r="EA25" s="124" t="s">
        <v>29</v>
      </c>
      <c r="EB25" s="124" t="s">
        <v>29</v>
      </c>
      <c r="EC25" s="277">
        <f t="shared" si="33"/>
        <v>13538.5489643646</v>
      </c>
      <c r="ED25" s="124" t="s">
        <v>29</v>
      </c>
      <c r="EE25" s="124" t="s">
        <v>29</v>
      </c>
      <c r="EF25" s="277">
        <f t="shared" si="34"/>
        <v>13538.5489643646</v>
      </c>
      <c r="EG25" s="124" t="s">
        <v>29</v>
      </c>
      <c r="EH25" s="124" t="s">
        <v>29</v>
      </c>
      <c r="EI25" s="277">
        <f t="shared" si="35"/>
        <v>13538.5489643646</v>
      </c>
      <c r="EJ25" s="124" t="s">
        <v>29</v>
      </c>
      <c r="EK25" s="124" t="s">
        <v>29</v>
      </c>
      <c r="EL25" s="277">
        <f t="shared" si="36"/>
        <v>13538.5489643646</v>
      </c>
      <c r="EM25" s="124" t="s">
        <v>29</v>
      </c>
      <c r="EN25" s="124" t="s">
        <v>29</v>
      </c>
      <c r="EO25" s="277">
        <f t="shared" si="37"/>
        <v>13538.5489643646</v>
      </c>
      <c r="EP25" s="124" t="s">
        <v>29</v>
      </c>
      <c r="EQ25" s="124" t="s">
        <v>29</v>
      </c>
    </row>
    <row r="26" spans="1:147">
      <c r="A26" s="125" t="s">
        <v>381</v>
      </c>
      <c r="B26" s="126" t="s">
        <v>382</v>
      </c>
      <c r="C26" s="122" t="s">
        <v>349</v>
      </c>
      <c r="D26" s="124">
        <f>[7]НР_стр.1_2!D16</f>
        <v>0</v>
      </c>
      <c r="E26" s="124" t="s">
        <v>29</v>
      </c>
      <c r="F26" s="124" t="s">
        <v>29</v>
      </c>
      <c r="G26" s="124">
        <f>[7]НР_стр.1_2!E16</f>
        <v>0</v>
      </c>
      <c r="H26" s="124">
        <f>[7]НР_стр.1_2!F16</f>
        <v>765.02549999999997</v>
      </c>
      <c r="I26" s="124" t="s">
        <v>29</v>
      </c>
      <c r="J26" s="124" t="s">
        <v>29</v>
      </c>
      <c r="K26" s="124">
        <f>[7]НР_стр.1_2!G16</f>
        <v>0</v>
      </c>
      <c r="L26" s="124">
        <v>785.15821800000003</v>
      </c>
      <c r="M26" s="124" t="s">
        <v>29</v>
      </c>
      <c r="N26" s="124" t="s">
        <v>29</v>
      </c>
      <c r="O26" s="124">
        <v>440.39537999999999</v>
      </c>
      <c r="P26" s="124">
        <f t="shared" si="50"/>
        <v>-344.76283800000004</v>
      </c>
      <c r="Q26" s="124">
        <v>816.56454671999995</v>
      </c>
      <c r="R26" s="124" t="s">
        <v>29</v>
      </c>
      <c r="S26" s="124" t="s">
        <v>29</v>
      </c>
      <c r="T26" s="124">
        <v>539.80962</v>
      </c>
      <c r="U26" s="124">
        <f t="shared" si="51"/>
        <v>-276.75492671999996</v>
      </c>
      <c r="V26" s="124">
        <v>849.22712858880004</v>
      </c>
      <c r="W26" s="124" t="s">
        <v>29</v>
      </c>
      <c r="X26" s="124" t="s">
        <v>29</v>
      </c>
      <c r="Y26" s="124">
        <v>883.19621373235202</v>
      </c>
      <c r="Z26" s="124" t="s">
        <v>29</v>
      </c>
      <c r="AA26" s="124" t="s">
        <v>29</v>
      </c>
      <c r="AB26" s="124">
        <v>918.52406228164602</v>
      </c>
      <c r="AC26" s="124" t="s">
        <v>29</v>
      </c>
      <c r="AD26" s="124" t="s">
        <v>29</v>
      </c>
      <c r="AE26" s="124">
        <f t="shared" si="4"/>
        <v>918.52406228164602</v>
      </c>
      <c r="AF26" s="124" t="s">
        <v>29</v>
      </c>
      <c r="AG26" s="124" t="s">
        <v>29</v>
      </c>
      <c r="AH26" s="124">
        <f t="shared" si="5"/>
        <v>918.52406228164602</v>
      </c>
      <c r="AI26" s="124" t="s">
        <v>29</v>
      </c>
      <c r="AJ26" s="124" t="s">
        <v>29</v>
      </c>
      <c r="AK26" s="124">
        <f t="shared" si="6"/>
        <v>918.52406228164602</v>
      </c>
      <c r="AL26" s="124" t="s">
        <v>29</v>
      </c>
      <c r="AM26" s="124" t="s">
        <v>29</v>
      </c>
      <c r="AN26" s="124">
        <f t="shared" si="7"/>
        <v>918.52406228164602</v>
      </c>
      <c r="AO26" s="124" t="s">
        <v>29</v>
      </c>
      <c r="AP26" s="124" t="s">
        <v>29</v>
      </c>
      <c r="AQ26" s="124">
        <f t="shared" si="8"/>
        <v>918.52406228164602</v>
      </c>
      <c r="AR26" s="124" t="s">
        <v>29</v>
      </c>
      <c r="AS26" s="124" t="s">
        <v>29</v>
      </c>
      <c r="AT26" s="124">
        <f t="shared" si="9"/>
        <v>918.52406228164602</v>
      </c>
      <c r="AU26" s="124" t="s">
        <v>29</v>
      </c>
      <c r="AV26" s="124" t="s">
        <v>29</v>
      </c>
      <c r="AW26" s="124">
        <f t="shared" si="10"/>
        <v>918.52406228164602</v>
      </c>
      <c r="AX26" s="124" t="s">
        <v>29</v>
      </c>
      <c r="AY26" s="124" t="s">
        <v>29</v>
      </c>
      <c r="AZ26" s="124">
        <f t="shared" si="11"/>
        <v>918.52406228164602</v>
      </c>
      <c r="BA26" s="124" t="s">
        <v>29</v>
      </c>
      <c r="BB26" s="124" t="s">
        <v>29</v>
      </c>
      <c r="BC26" s="124">
        <f t="shared" si="12"/>
        <v>918.52406228164602</v>
      </c>
      <c r="BD26" s="124" t="s">
        <v>29</v>
      </c>
      <c r="BE26" s="124" t="s">
        <v>29</v>
      </c>
      <c r="BF26" s="124">
        <f t="shared" si="13"/>
        <v>918.52406228164602</v>
      </c>
      <c r="BG26" s="124" t="s">
        <v>29</v>
      </c>
      <c r="BH26" s="124" t="s">
        <v>29</v>
      </c>
      <c r="BI26" s="124">
        <f t="shared" si="14"/>
        <v>918.52406228164602</v>
      </c>
      <c r="BJ26" s="124" t="s">
        <v>29</v>
      </c>
      <c r="BK26" s="124" t="s">
        <v>29</v>
      </c>
      <c r="BL26" s="124">
        <f t="shared" si="15"/>
        <v>918.52406228164602</v>
      </c>
      <c r="BM26" s="124" t="s">
        <v>29</v>
      </c>
      <c r="BN26" s="124" t="s">
        <v>29</v>
      </c>
      <c r="BO26" s="124">
        <f t="shared" si="16"/>
        <v>918.52406228164602</v>
      </c>
      <c r="BP26" s="124" t="s">
        <v>29</v>
      </c>
      <c r="BQ26" s="124" t="s">
        <v>29</v>
      </c>
      <c r="BR26" s="124">
        <f t="shared" si="17"/>
        <v>918.52406228164602</v>
      </c>
      <c r="BS26" s="124" t="s">
        <v>29</v>
      </c>
      <c r="BT26" s="124" t="s">
        <v>29</v>
      </c>
      <c r="BU26" s="124">
        <f t="shared" si="18"/>
        <v>918.52406228164602</v>
      </c>
      <c r="BV26" s="124" t="s">
        <v>29</v>
      </c>
      <c r="BW26" s="124" t="s">
        <v>29</v>
      </c>
      <c r="BX26" s="124">
        <f>[7]НР_стр.1_2!AB16</f>
        <v>0</v>
      </c>
      <c r="BY26" s="124" t="s">
        <v>29</v>
      </c>
      <c r="BZ26" s="124" t="s">
        <v>29</v>
      </c>
      <c r="CA26" s="124">
        <f>[7]НР_стр.1_2!AC16</f>
        <v>0</v>
      </c>
      <c r="CB26" s="124">
        <f>[7]НР_стр.1_2!AD16</f>
        <v>0</v>
      </c>
      <c r="CC26" s="124" t="s">
        <v>29</v>
      </c>
      <c r="CD26" s="124" t="s">
        <v>29</v>
      </c>
      <c r="CE26" s="124">
        <f>[7]НР_стр.1_2!AE16</f>
        <v>0</v>
      </c>
      <c r="CF26" s="124">
        <v>0</v>
      </c>
      <c r="CG26" s="124" t="s">
        <v>29</v>
      </c>
      <c r="CH26" s="124" t="s">
        <v>29</v>
      </c>
      <c r="CI26" s="124">
        <v>0</v>
      </c>
      <c r="CJ26" s="124">
        <f t="shared" si="52"/>
        <v>0</v>
      </c>
      <c r="CK26" s="124">
        <v>0</v>
      </c>
      <c r="CL26" s="124" t="s">
        <v>29</v>
      </c>
      <c r="CM26" s="124" t="s">
        <v>29</v>
      </c>
      <c r="CN26" s="124">
        <v>11836.052600000001</v>
      </c>
      <c r="CO26" s="124">
        <f t="shared" si="53"/>
        <v>11836.052600000001</v>
      </c>
      <c r="CP26" s="124">
        <v>0</v>
      </c>
      <c r="CQ26" s="124" t="s">
        <v>29</v>
      </c>
      <c r="CR26" s="124" t="s">
        <v>29</v>
      </c>
      <c r="CS26" s="124">
        <v>0</v>
      </c>
      <c r="CT26" s="124" t="s">
        <v>29</v>
      </c>
      <c r="CU26" s="124" t="s">
        <v>29</v>
      </c>
      <c r="CV26" s="124">
        <v>0</v>
      </c>
      <c r="CW26" s="124" t="s">
        <v>29</v>
      </c>
      <c r="CX26" s="124" t="s">
        <v>29</v>
      </c>
      <c r="CY26" s="277">
        <f t="shared" si="23"/>
        <v>0</v>
      </c>
      <c r="CZ26" s="124" t="s">
        <v>29</v>
      </c>
      <c r="DA26" s="124" t="s">
        <v>29</v>
      </c>
      <c r="DB26" s="277">
        <f t="shared" si="24"/>
        <v>0</v>
      </c>
      <c r="DC26" s="124" t="s">
        <v>29</v>
      </c>
      <c r="DD26" s="124" t="s">
        <v>29</v>
      </c>
      <c r="DE26" s="277">
        <f t="shared" si="25"/>
        <v>0</v>
      </c>
      <c r="DF26" s="124" t="s">
        <v>29</v>
      </c>
      <c r="DG26" s="124" t="s">
        <v>29</v>
      </c>
      <c r="DH26" s="277">
        <f t="shared" si="26"/>
        <v>0</v>
      </c>
      <c r="DI26" s="124" t="s">
        <v>29</v>
      </c>
      <c r="DJ26" s="124" t="s">
        <v>29</v>
      </c>
      <c r="DK26" s="277">
        <f t="shared" si="27"/>
        <v>0</v>
      </c>
      <c r="DL26" s="124" t="s">
        <v>29</v>
      </c>
      <c r="DM26" s="124" t="s">
        <v>29</v>
      </c>
      <c r="DN26" s="277">
        <f t="shared" si="28"/>
        <v>0</v>
      </c>
      <c r="DO26" s="124" t="s">
        <v>29</v>
      </c>
      <c r="DP26" s="124" t="s">
        <v>29</v>
      </c>
      <c r="DQ26" s="277">
        <f t="shared" si="29"/>
        <v>0</v>
      </c>
      <c r="DR26" s="124" t="s">
        <v>29</v>
      </c>
      <c r="DS26" s="124" t="s">
        <v>29</v>
      </c>
      <c r="DT26" s="277">
        <f t="shared" si="30"/>
        <v>0</v>
      </c>
      <c r="DU26" s="124" t="s">
        <v>29</v>
      </c>
      <c r="DV26" s="124" t="s">
        <v>29</v>
      </c>
      <c r="DW26" s="277">
        <f t="shared" si="31"/>
        <v>0</v>
      </c>
      <c r="DX26" s="124" t="s">
        <v>29</v>
      </c>
      <c r="DY26" s="124" t="s">
        <v>29</v>
      </c>
      <c r="DZ26" s="277">
        <f t="shared" si="32"/>
        <v>0</v>
      </c>
      <c r="EA26" s="124" t="s">
        <v>29</v>
      </c>
      <c r="EB26" s="124" t="s">
        <v>29</v>
      </c>
      <c r="EC26" s="277">
        <f t="shared" si="33"/>
        <v>0</v>
      </c>
      <c r="ED26" s="124" t="s">
        <v>29</v>
      </c>
      <c r="EE26" s="124" t="s">
        <v>29</v>
      </c>
      <c r="EF26" s="277">
        <f t="shared" si="34"/>
        <v>0</v>
      </c>
      <c r="EG26" s="124" t="s">
        <v>29</v>
      </c>
      <c r="EH26" s="124" t="s">
        <v>29</v>
      </c>
      <c r="EI26" s="277">
        <f t="shared" si="35"/>
        <v>0</v>
      </c>
      <c r="EJ26" s="124" t="s">
        <v>29</v>
      </c>
      <c r="EK26" s="124" t="s">
        <v>29</v>
      </c>
      <c r="EL26" s="277">
        <f t="shared" si="36"/>
        <v>0</v>
      </c>
      <c r="EM26" s="124" t="s">
        <v>29</v>
      </c>
      <c r="EN26" s="124" t="s">
        <v>29</v>
      </c>
      <c r="EO26" s="277">
        <f t="shared" si="37"/>
        <v>0</v>
      </c>
      <c r="EP26" s="124" t="s">
        <v>29</v>
      </c>
      <c r="EQ26" s="124" t="s">
        <v>29</v>
      </c>
    </row>
    <row r="27" spans="1:147">
      <c r="A27" s="125" t="s">
        <v>383</v>
      </c>
      <c r="B27" s="126" t="s">
        <v>384</v>
      </c>
      <c r="C27" s="122" t="s">
        <v>349</v>
      </c>
      <c r="D27" s="124">
        <f>[7]НР_стр.1_2!D17</f>
        <v>12980.157247880001</v>
      </c>
      <c r="E27" s="124" t="s">
        <v>29</v>
      </c>
      <c r="F27" s="124" t="s">
        <v>29</v>
      </c>
      <c r="G27" s="124">
        <f>[7]НР_стр.1_2!E17</f>
        <v>12032</v>
      </c>
      <c r="H27" s="124">
        <f>[7]НР_стр.1_2!F17</f>
        <v>13221.076752499999</v>
      </c>
      <c r="I27" s="124" t="s">
        <v>29</v>
      </c>
      <c r="J27" s="124" t="s">
        <v>29</v>
      </c>
      <c r="K27" s="124">
        <f>[7]НР_стр.1_2!G17</f>
        <v>0</v>
      </c>
      <c r="L27" s="124">
        <f>11756.352163855-5000</f>
        <v>6756.3521638549992</v>
      </c>
      <c r="M27" s="124" t="s">
        <v>29</v>
      </c>
      <c r="N27" s="124" t="s">
        <v>29</v>
      </c>
      <c r="O27" s="124">
        <v>0</v>
      </c>
      <c r="P27" s="124">
        <f t="shared" si="50"/>
        <v>-6756.3521638549992</v>
      </c>
      <c r="Q27" s="124">
        <v>7041.6062504091997</v>
      </c>
      <c r="R27" s="124" t="s">
        <v>29</v>
      </c>
      <c r="S27" s="124" t="s">
        <v>29</v>
      </c>
      <c r="T27" s="124">
        <v>0</v>
      </c>
      <c r="U27" s="124">
        <f t="shared" si="51"/>
        <v>-7041.6062504091997</v>
      </c>
      <c r="V27" s="124">
        <v>7338.8255004255998</v>
      </c>
      <c r="W27" s="124" t="s">
        <v>29</v>
      </c>
      <c r="X27" s="124" t="s">
        <v>29</v>
      </c>
      <c r="Y27" s="124">
        <v>7648.5090554425997</v>
      </c>
      <c r="Z27" s="124" t="s">
        <v>29</v>
      </c>
      <c r="AA27" s="124" t="s">
        <v>29</v>
      </c>
      <c r="AB27" s="124">
        <v>7971.1767824552999</v>
      </c>
      <c r="AC27" s="124" t="s">
        <v>29</v>
      </c>
      <c r="AD27" s="124" t="s">
        <v>29</v>
      </c>
      <c r="AE27" s="124">
        <f t="shared" si="4"/>
        <v>7971.1767824552999</v>
      </c>
      <c r="AF27" s="124" t="s">
        <v>29</v>
      </c>
      <c r="AG27" s="124" t="s">
        <v>29</v>
      </c>
      <c r="AH27" s="124">
        <f t="shared" si="5"/>
        <v>7971.1767824552999</v>
      </c>
      <c r="AI27" s="124" t="s">
        <v>29</v>
      </c>
      <c r="AJ27" s="124" t="s">
        <v>29</v>
      </c>
      <c r="AK27" s="124">
        <f t="shared" si="6"/>
        <v>7971.1767824552999</v>
      </c>
      <c r="AL27" s="124" t="s">
        <v>29</v>
      </c>
      <c r="AM27" s="124" t="s">
        <v>29</v>
      </c>
      <c r="AN27" s="124">
        <f t="shared" si="7"/>
        <v>7971.1767824552999</v>
      </c>
      <c r="AO27" s="124" t="s">
        <v>29</v>
      </c>
      <c r="AP27" s="124" t="s">
        <v>29</v>
      </c>
      <c r="AQ27" s="124">
        <f t="shared" si="8"/>
        <v>7971.1767824552999</v>
      </c>
      <c r="AR27" s="124" t="s">
        <v>29</v>
      </c>
      <c r="AS27" s="124" t="s">
        <v>29</v>
      </c>
      <c r="AT27" s="124">
        <f t="shared" si="9"/>
        <v>7971.1767824552999</v>
      </c>
      <c r="AU27" s="124" t="s">
        <v>29</v>
      </c>
      <c r="AV27" s="124" t="s">
        <v>29</v>
      </c>
      <c r="AW27" s="124">
        <f t="shared" si="10"/>
        <v>7971.1767824552999</v>
      </c>
      <c r="AX27" s="124" t="s">
        <v>29</v>
      </c>
      <c r="AY27" s="124" t="s">
        <v>29</v>
      </c>
      <c r="AZ27" s="124">
        <f t="shared" si="11"/>
        <v>7971.1767824552999</v>
      </c>
      <c r="BA27" s="124" t="s">
        <v>29</v>
      </c>
      <c r="BB27" s="124" t="s">
        <v>29</v>
      </c>
      <c r="BC27" s="124">
        <f t="shared" si="12"/>
        <v>7971.1767824552999</v>
      </c>
      <c r="BD27" s="124" t="s">
        <v>29</v>
      </c>
      <c r="BE27" s="124" t="s">
        <v>29</v>
      </c>
      <c r="BF27" s="124">
        <f t="shared" si="13"/>
        <v>7971.1767824552999</v>
      </c>
      <c r="BG27" s="124" t="s">
        <v>29</v>
      </c>
      <c r="BH27" s="124" t="s">
        <v>29</v>
      </c>
      <c r="BI27" s="124">
        <f t="shared" si="14"/>
        <v>7971.1767824552999</v>
      </c>
      <c r="BJ27" s="124" t="s">
        <v>29</v>
      </c>
      <c r="BK27" s="124" t="s">
        <v>29</v>
      </c>
      <c r="BL27" s="124">
        <f t="shared" si="15"/>
        <v>7971.1767824552999</v>
      </c>
      <c r="BM27" s="124" t="s">
        <v>29</v>
      </c>
      <c r="BN27" s="124" t="s">
        <v>29</v>
      </c>
      <c r="BO27" s="124">
        <f t="shared" si="16"/>
        <v>7971.1767824552999</v>
      </c>
      <c r="BP27" s="124" t="s">
        <v>29</v>
      </c>
      <c r="BQ27" s="124" t="s">
        <v>29</v>
      </c>
      <c r="BR27" s="124">
        <f t="shared" si="17"/>
        <v>7971.1767824552999</v>
      </c>
      <c r="BS27" s="124" t="s">
        <v>29</v>
      </c>
      <c r="BT27" s="124" t="s">
        <v>29</v>
      </c>
      <c r="BU27" s="124">
        <f t="shared" si="18"/>
        <v>7971.1767824552999</v>
      </c>
      <c r="BV27" s="124" t="s">
        <v>29</v>
      </c>
      <c r="BW27" s="124" t="s">
        <v>29</v>
      </c>
      <c r="BX27" s="124">
        <f>[7]НР_стр.1_2!AB17</f>
        <v>0</v>
      </c>
      <c r="BY27" s="124" t="s">
        <v>29</v>
      </c>
      <c r="BZ27" s="124" t="s">
        <v>29</v>
      </c>
      <c r="CA27" s="124">
        <f>[7]НР_стр.1_2!AC17</f>
        <v>0</v>
      </c>
      <c r="CB27" s="124">
        <f>[7]НР_стр.1_2!AD17</f>
        <v>0</v>
      </c>
      <c r="CC27" s="124" t="s">
        <v>29</v>
      </c>
      <c r="CD27" s="124" t="s">
        <v>29</v>
      </c>
      <c r="CE27" s="124">
        <f>[7]НР_стр.1_2!AE17</f>
        <v>0</v>
      </c>
      <c r="CF27" s="124">
        <v>0</v>
      </c>
      <c r="CG27" s="124" t="s">
        <v>29</v>
      </c>
      <c r="CH27" s="124" t="s">
        <v>29</v>
      </c>
      <c r="CI27" s="124">
        <v>0</v>
      </c>
      <c r="CJ27" s="124">
        <f t="shared" si="52"/>
        <v>0</v>
      </c>
      <c r="CK27" s="124">
        <v>0</v>
      </c>
      <c r="CL27" s="124" t="s">
        <v>29</v>
      </c>
      <c r="CM27" s="124" t="s">
        <v>29</v>
      </c>
      <c r="CN27" s="124">
        <v>0</v>
      </c>
      <c r="CO27" s="124">
        <f t="shared" si="53"/>
        <v>0</v>
      </c>
      <c r="CP27" s="124">
        <v>0</v>
      </c>
      <c r="CQ27" s="124" t="s">
        <v>29</v>
      </c>
      <c r="CR27" s="124" t="s">
        <v>29</v>
      </c>
      <c r="CS27" s="124">
        <v>0</v>
      </c>
      <c r="CT27" s="124" t="s">
        <v>29</v>
      </c>
      <c r="CU27" s="124" t="s">
        <v>29</v>
      </c>
      <c r="CV27" s="124">
        <v>0</v>
      </c>
      <c r="CW27" s="124" t="s">
        <v>29</v>
      </c>
      <c r="CX27" s="124" t="s">
        <v>29</v>
      </c>
      <c r="CY27" s="277">
        <f t="shared" si="23"/>
        <v>0</v>
      </c>
      <c r="CZ27" s="124" t="s">
        <v>29</v>
      </c>
      <c r="DA27" s="124" t="s">
        <v>29</v>
      </c>
      <c r="DB27" s="277">
        <f t="shared" si="24"/>
        <v>0</v>
      </c>
      <c r="DC27" s="124" t="s">
        <v>29</v>
      </c>
      <c r="DD27" s="124" t="s">
        <v>29</v>
      </c>
      <c r="DE27" s="277">
        <f t="shared" si="25"/>
        <v>0</v>
      </c>
      <c r="DF27" s="124" t="s">
        <v>29</v>
      </c>
      <c r="DG27" s="124" t="s">
        <v>29</v>
      </c>
      <c r="DH27" s="277">
        <f t="shared" si="26"/>
        <v>0</v>
      </c>
      <c r="DI27" s="124" t="s">
        <v>29</v>
      </c>
      <c r="DJ27" s="124" t="s">
        <v>29</v>
      </c>
      <c r="DK27" s="277">
        <f t="shared" si="27"/>
        <v>0</v>
      </c>
      <c r="DL27" s="124" t="s">
        <v>29</v>
      </c>
      <c r="DM27" s="124" t="s">
        <v>29</v>
      </c>
      <c r="DN27" s="277">
        <f t="shared" si="28"/>
        <v>0</v>
      </c>
      <c r="DO27" s="124" t="s">
        <v>29</v>
      </c>
      <c r="DP27" s="124" t="s">
        <v>29</v>
      </c>
      <c r="DQ27" s="277">
        <f t="shared" si="29"/>
        <v>0</v>
      </c>
      <c r="DR27" s="124" t="s">
        <v>29</v>
      </c>
      <c r="DS27" s="124" t="s">
        <v>29</v>
      </c>
      <c r="DT27" s="277">
        <f t="shared" si="30"/>
        <v>0</v>
      </c>
      <c r="DU27" s="124" t="s">
        <v>29</v>
      </c>
      <c r="DV27" s="124" t="s">
        <v>29</v>
      </c>
      <c r="DW27" s="277">
        <f t="shared" si="31"/>
        <v>0</v>
      </c>
      <c r="DX27" s="124" t="s">
        <v>29</v>
      </c>
      <c r="DY27" s="124" t="s">
        <v>29</v>
      </c>
      <c r="DZ27" s="277">
        <f t="shared" si="32"/>
        <v>0</v>
      </c>
      <c r="EA27" s="124" t="s">
        <v>29</v>
      </c>
      <c r="EB27" s="124" t="s">
        <v>29</v>
      </c>
      <c r="EC27" s="277">
        <f t="shared" si="33"/>
        <v>0</v>
      </c>
      <c r="ED27" s="124" t="s">
        <v>29</v>
      </c>
      <c r="EE27" s="124" t="s">
        <v>29</v>
      </c>
      <c r="EF27" s="277">
        <f t="shared" si="34"/>
        <v>0</v>
      </c>
      <c r="EG27" s="124" t="s">
        <v>29</v>
      </c>
      <c r="EH27" s="124" t="s">
        <v>29</v>
      </c>
      <c r="EI27" s="277">
        <f t="shared" si="35"/>
        <v>0</v>
      </c>
      <c r="EJ27" s="124" t="s">
        <v>29</v>
      </c>
      <c r="EK27" s="124" t="s">
        <v>29</v>
      </c>
      <c r="EL27" s="277">
        <f t="shared" si="36"/>
        <v>0</v>
      </c>
      <c r="EM27" s="124" t="s">
        <v>29</v>
      </c>
      <c r="EN27" s="124" t="s">
        <v>29</v>
      </c>
      <c r="EO27" s="277">
        <f t="shared" si="37"/>
        <v>0</v>
      </c>
      <c r="EP27" s="124" t="s">
        <v>29</v>
      </c>
      <c r="EQ27" s="124" t="s">
        <v>29</v>
      </c>
    </row>
    <row r="28" spans="1:147">
      <c r="A28" s="125" t="s">
        <v>385</v>
      </c>
      <c r="B28" s="126" t="s">
        <v>386</v>
      </c>
      <c r="C28" s="122" t="s">
        <v>349</v>
      </c>
      <c r="D28" s="124">
        <f>[7]НР_стр.1_2!D25</f>
        <v>1843.5102787303799</v>
      </c>
      <c r="E28" s="124" t="s">
        <v>29</v>
      </c>
      <c r="F28" s="124" t="s">
        <v>29</v>
      </c>
      <c r="G28" s="124">
        <f>[7]НР_стр.1_2!E25</f>
        <v>1679</v>
      </c>
      <c r="H28" s="124">
        <f>[7]НР_стр.1_2!F25</f>
        <v>4242.8705706081801</v>
      </c>
      <c r="I28" s="124" t="s">
        <v>29</v>
      </c>
      <c r="J28" s="124" t="s">
        <v>29</v>
      </c>
      <c r="K28" s="124">
        <f>[7]НР_стр.1_2!G25</f>
        <v>0</v>
      </c>
      <c r="L28" s="124">
        <f>L29+L30+L31+L34+L35</f>
        <v>12391.552986474671</v>
      </c>
      <c r="M28" s="124" t="s">
        <v>29</v>
      </c>
      <c r="N28" s="124" t="s">
        <v>29</v>
      </c>
      <c r="O28" s="124">
        <f>O29+O30+O31+O34+O35+O32+O33</f>
        <v>12494.212793454319</v>
      </c>
      <c r="P28" s="124">
        <f t="shared" si="50"/>
        <v>102.65980697964733</v>
      </c>
      <c r="Q28" s="124">
        <f t="shared" ref="Q28:S28" si="60">Q29+Q30+Q31+Q34+Q35</f>
        <v>14336.925186846001</v>
      </c>
      <c r="R28" s="124">
        <f t="shared" si="60"/>
        <v>14336.925186846001</v>
      </c>
      <c r="S28" s="124">
        <f t="shared" si="60"/>
        <v>14336.925186846001</v>
      </c>
      <c r="T28" s="124">
        <f>T29+T30+T31+T34+T35+T32+T33+T36</f>
        <v>8652.3785547671232</v>
      </c>
      <c r="U28" s="124">
        <f t="shared" si="51"/>
        <v>-5684.5466320788782</v>
      </c>
      <c r="V28" s="124">
        <f>V29+V30+V31+V34+V35</f>
        <v>15806.554229707761</v>
      </c>
      <c r="W28" s="124" t="s">
        <v>29</v>
      </c>
      <c r="X28" s="124" t="s">
        <v>29</v>
      </c>
      <c r="Y28" s="124">
        <f>Y29+Y30+Y31+Y34+Y35</f>
        <v>16974.601640084031</v>
      </c>
      <c r="Z28" s="124" t="s">
        <v>29</v>
      </c>
      <c r="AA28" s="124" t="s">
        <v>29</v>
      </c>
      <c r="AB28" s="124">
        <f>AB29+AB30+AB31+AB34+AB35</f>
        <v>17492.356396247978</v>
      </c>
      <c r="AC28" s="124" t="s">
        <v>29</v>
      </c>
      <c r="AD28" s="124" t="s">
        <v>29</v>
      </c>
      <c r="AE28" s="124">
        <f t="shared" si="4"/>
        <v>17492.356396247978</v>
      </c>
      <c r="AF28" s="124" t="s">
        <v>29</v>
      </c>
      <c r="AG28" s="124" t="s">
        <v>29</v>
      </c>
      <c r="AH28" s="124">
        <f t="shared" si="5"/>
        <v>17492.356396247978</v>
      </c>
      <c r="AI28" s="124" t="s">
        <v>29</v>
      </c>
      <c r="AJ28" s="124" t="s">
        <v>29</v>
      </c>
      <c r="AK28" s="124">
        <f t="shared" si="6"/>
        <v>17492.356396247978</v>
      </c>
      <c r="AL28" s="124" t="s">
        <v>29</v>
      </c>
      <c r="AM28" s="124" t="s">
        <v>29</v>
      </c>
      <c r="AN28" s="124">
        <f t="shared" si="7"/>
        <v>17492.356396247978</v>
      </c>
      <c r="AO28" s="124" t="s">
        <v>29</v>
      </c>
      <c r="AP28" s="124" t="s">
        <v>29</v>
      </c>
      <c r="AQ28" s="124">
        <f t="shared" si="8"/>
        <v>17492.356396247978</v>
      </c>
      <c r="AR28" s="124" t="s">
        <v>29</v>
      </c>
      <c r="AS28" s="124" t="s">
        <v>29</v>
      </c>
      <c r="AT28" s="124">
        <f t="shared" si="9"/>
        <v>17492.356396247978</v>
      </c>
      <c r="AU28" s="124" t="s">
        <v>29</v>
      </c>
      <c r="AV28" s="124" t="s">
        <v>29</v>
      </c>
      <c r="AW28" s="124">
        <f t="shared" si="10"/>
        <v>17492.356396247978</v>
      </c>
      <c r="AX28" s="124" t="s">
        <v>29</v>
      </c>
      <c r="AY28" s="124" t="s">
        <v>29</v>
      </c>
      <c r="AZ28" s="124">
        <f t="shared" si="11"/>
        <v>17492.356396247978</v>
      </c>
      <c r="BA28" s="124" t="s">
        <v>29</v>
      </c>
      <c r="BB28" s="124" t="s">
        <v>29</v>
      </c>
      <c r="BC28" s="124">
        <f t="shared" si="12"/>
        <v>17492.356396247978</v>
      </c>
      <c r="BD28" s="124" t="s">
        <v>29</v>
      </c>
      <c r="BE28" s="124" t="s">
        <v>29</v>
      </c>
      <c r="BF28" s="124">
        <f t="shared" si="13"/>
        <v>17492.356396247978</v>
      </c>
      <c r="BG28" s="124" t="s">
        <v>29</v>
      </c>
      <c r="BH28" s="124" t="s">
        <v>29</v>
      </c>
      <c r="BI28" s="124">
        <f t="shared" si="14"/>
        <v>17492.356396247978</v>
      </c>
      <c r="BJ28" s="124" t="s">
        <v>29</v>
      </c>
      <c r="BK28" s="124" t="s">
        <v>29</v>
      </c>
      <c r="BL28" s="124">
        <f t="shared" si="15"/>
        <v>17492.356396247978</v>
      </c>
      <c r="BM28" s="124" t="s">
        <v>29</v>
      </c>
      <c r="BN28" s="124" t="s">
        <v>29</v>
      </c>
      <c r="BO28" s="124">
        <f t="shared" si="16"/>
        <v>17492.356396247978</v>
      </c>
      <c r="BP28" s="124" t="s">
        <v>29</v>
      </c>
      <c r="BQ28" s="124" t="s">
        <v>29</v>
      </c>
      <c r="BR28" s="124">
        <f t="shared" si="17"/>
        <v>17492.356396247978</v>
      </c>
      <c r="BS28" s="124" t="s">
        <v>29</v>
      </c>
      <c r="BT28" s="124" t="s">
        <v>29</v>
      </c>
      <c r="BU28" s="124">
        <f t="shared" si="18"/>
        <v>17492.356396247978</v>
      </c>
      <c r="BV28" s="124" t="s">
        <v>29</v>
      </c>
      <c r="BW28" s="124" t="s">
        <v>29</v>
      </c>
      <c r="BX28" s="124">
        <f>[7]НР_стр.1_2!AB25</f>
        <v>3105.06040116235</v>
      </c>
      <c r="BY28" s="124" t="s">
        <v>29</v>
      </c>
      <c r="BZ28" s="124" t="s">
        <v>29</v>
      </c>
      <c r="CA28" s="124">
        <f>[7]НР_стр.1_2!AC25</f>
        <v>2535</v>
      </c>
      <c r="CB28" s="124">
        <f>[7]НР_стр.1_2!AD25</f>
        <v>8248.7349208032792</v>
      </c>
      <c r="CC28" s="124" t="s">
        <v>29</v>
      </c>
      <c r="CD28" s="124" t="s">
        <v>29</v>
      </c>
      <c r="CE28" s="124">
        <f>[7]НР_стр.1_2!AE25</f>
        <v>0</v>
      </c>
      <c r="CF28" s="124">
        <f>CF29+CF30+CF31+CF34+CF35</f>
        <v>6261.8529473229337</v>
      </c>
      <c r="CG28" s="124" t="s">
        <v>29</v>
      </c>
      <c r="CH28" s="124" t="s">
        <v>29</v>
      </c>
      <c r="CI28" s="124">
        <f>CI29+CI30+CI31+CI34+CI35+CI32+CI33</f>
        <v>4681.9771298932301</v>
      </c>
      <c r="CJ28" s="124">
        <f t="shared" si="52"/>
        <v>-1579.8758174297036</v>
      </c>
      <c r="CK28" s="124">
        <f>CK29+CK30+CK31+CK34+CK35</f>
        <v>7060.4712143227434</v>
      </c>
      <c r="CL28" s="124" t="s">
        <v>29</v>
      </c>
      <c r="CM28" s="124" t="s">
        <v>29</v>
      </c>
      <c r="CN28" s="124">
        <f>CN29+CN30+CN31+CN34+CN35+CN32+CN33+CN36</f>
        <v>2447.9327419520068</v>
      </c>
      <c r="CO28" s="124">
        <f t="shared" si="53"/>
        <v>-4612.5384723707366</v>
      </c>
      <c r="CP28" s="124">
        <f>CP29+CP30+CP31+CP34+CP35</f>
        <v>8210.0545770872741</v>
      </c>
      <c r="CQ28" s="124" t="s">
        <v>29</v>
      </c>
      <c r="CR28" s="124" t="s">
        <v>29</v>
      </c>
      <c r="CS28" s="124">
        <f>CS29+CS30+CS31+CS34+CS35</f>
        <v>9165.5879904017456</v>
      </c>
      <c r="CT28" s="124" t="s">
        <v>29</v>
      </c>
      <c r="CU28" s="124" t="s">
        <v>29</v>
      </c>
      <c r="CV28" s="124">
        <f>CV29+CV30+CV31+CV34+CV35</f>
        <v>9628.9717091419952</v>
      </c>
      <c r="CW28" s="124" t="s">
        <v>29</v>
      </c>
      <c r="CX28" s="124" t="s">
        <v>29</v>
      </c>
      <c r="CY28" s="277">
        <f t="shared" si="23"/>
        <v>9628.9717091419952</v>
      </c>
      <c r="CZ28" s="124" t="s">
        <v>29</v>
      </c>
      <c r="DA28" s="124" t="s">
        <v>29</v>
      </c>
      <c r="DB28" s="277">
        <f t="shared" si="24"/>
        <v>9628.9717091419952</v>
      </c>
      <c r="DC28" s="124" t="s">
        <v>29</v>
      </c>
      <c r="DD28" s="124" t="s">
        <v>29</v>
      </c>
      <c r="DE28" s="277">
        <f t="shared" si="25"/>
        <v>9628.9717091419952</v>
      </c>
      <c r="DF28" s="124" t="s">
        <v>29</v>
      </c>
      <c r="DG28" s="124" t="s">
        <v>29</v>
      </c>
      <c r="DH28" s="277">
        <f t="shared" si="26"/>
        <v>9628.9717091419952</v>
      </c>
      <c r="DI28" s="124" t="s">
        <v>29</v>
      </c>
      <c r="DJ28" s="124" t="s">
        <v>29</v>
      </c>
      <c r="DK28" s="277">
        <f t="shared" si="27"/>
        <v>9628.9717091419952</v>
      </c>
      <c r="DL28" s="124" t="s">
        <v>29</v>
      </c>
      <c r="DM28" s="124" t="s">
        <v>29</v>
      </c>
      <c r="DN28" s="277">
        <f t="shared" si="28"/>
        <v>9628.9717091419952</v>
      </c>
      <c r="DO28" s="124" t="s">
        <v>29</v>
      </c>
      <c r="DP28" s="124" t="s">
        <v>29</v>
      </c>
      <c r="DQ28" s="277">
        <f t="shared" si="29"/>
        <v>9628.9717091419952</v>
      </c>
      <c r="DR28" s="124" t="s">
        <v>29</v>
      </c>
      <c r="DS28" s="124" t="s">
        <v>29</v>
      </c>
      <c r="DT28" s="277">
        <f t="shared" si="30"/>
        <v>9628.9717091419952</v>
      </c>
      <c r="DU28" s="124" t="s">
        <v>29</v>
      </c>
      <c r="DV28" s="124" t="s">
        <v>29</v>
      </c>
      <c r="DW28" s="277">
        <f t="shared" si="31"/>
        <v>9628.9717091419952</v>
      </c>
      <c r="DX28" s="124" t="s">
        <v>29</v>
      </c>
      <c r="DY28" s="124" t="s">
        <v>29</v>
      </c>
      <c r="DZ28" s="277">
        <f t="shared" si="32"/>
        <v>9628.9717091419952</v>
      </c>
      <c r="EA28" s="124" t="s">
        <v>29</v>
      </c>
      <c r="EB28" s="124" t="s">
        <v>29</v>
      </c>
      <c r="EC28" s="277">
        <f t="shared" si="33"/>
        <v>9628.9717091419952</v>
      </c>
      <c r="ED28" s="124" t="s">
        <v>29</v>
      </c>
      <c r="EE28" s="124" t="s">
        <v>29</v>
      </c>
      <c r="EF28" s="277">
        <f t="shared" si="34"/>
        <v>9628.9717091419952</v>
      </c>
      <c r="EG28" s="124" t="s">
        <v>29</v>
      </c>
      <c r="EH28" s="124" t="s">
        <v>29</v>
      </c>
      <c r="EI28" s="277">
        <f t="shared" si="35"/>
        <v>9628.9717091419952</v>
      </c>
      <c r="EJ28" s="124" t="s">
        <v>29</v>
      </c>
      <c r="EK28" s="124" t="s">
        <v>29</v>
      </c>
      <c r="EL28" s="277">
        <f t="shared" si="36"/>
        <v>9628.9717091419952</v>
      </c>
      <c r="EM28" s="124" t="s">
        <v>29</v>
      </c>
      <c r="EN28" s="124" t="s">
        <v>29</v>
      </c>
      <c r="EO28" s="277">
        <f t="shared" si="37"/>
        <v>9628.9717091419952</v>
      </c>
      <c r="EP28" s="124" t="s">
        <v>29</v>
      </c>
      <c r="EQ28" s="124" t="s">
        <v>29</v>
      </c>
    </row>
    <row r="29" spans="1:147">
      <c r="A29" s="125" t="s">
        <v>387</v>
      </c>
      <c r="B29" s="126" t="s">
        <v>388</v>
      </c>
      <c r="C29" s="122" t="s">
        <v>349</v>
      </c>
      <c r="D29" s="124">
        <f>[7]НР_стр.1_2!D26</f>
        <v>158.94087200125199</v>
      </c>
      <c r="E29" s="124" t="s">
        <v>29</v>
      </c>
      <c r="F29" s="124" t="s">
        <v>29</v>
      </c>
      <c r="G29" s="124">
        <f>[7]НР_стр.1_2!E26</f>
        <v>0</v>
      </c>
      <c r="H29" s="124">
        <f>[7]НР_стр.1_2!F26</f>
        <v>190.605624768289</v>
      </c>
      <c r="I29" s="124" t="s">
        <v>29</v>
      </c>
      <c r="J29" s="124" t="s">
        <v>29</v>
      </c>
      <c r="K29" s="124">
        <f>[7]НР_стр.1_2!G26</f>
        <v>0</v>
      </c>
      <c r="L29" s="124">
        <v>4222.6164757806901</v>
      </c>
      <c r="M29" s="124" t="s">
        <v>29</v>
      </c>
      <c r="N29" s="124" t="s">
        <v>29</v>
      </c>
      <c r="O29" s="124">
        <v>2593.3270734543198</v>
      </c>
      <c r="P29" s="124">
        <f t="shared" si="50"/>
        <v>-1629.2894023263702</v>
      </c>
      <c r="Q29" s="124">
        <v>5243.4228268460001</v>
      </c>
      <c r="R29" s="124">
        <v>5243.4228268460001</v>
      </c>
      <c r="S29" s="124">
        <v>5243.4228268460001</v>
      </c>
      <c r="T29" s="124">
        <v>183.81838476712301</v>
      </c>
      <c r="U29" s="124">
        <f t="shared" si="51"/>
        <v>-5059.6044420788767</v>
      </c>
      <c r="V29" s="124">
        <v>6749.6218697077602</v>
      </c>
      <c r="W29" s="124" t="s">
        <v>29</v>
      </c>
      <c r="X29" s="124" t="s">
        <v>29</v>
      </c>
      <c r="Y29" s="124">
        <v>7808.1192800840299</v>
      </c>
      <c r="Z29" s="124" t="s">
        <v>29</v>
      </c>
      <c r="AA29" s="124" t="s">
        <v>29</v>
      </c>
      <c r="AB29" s="124">
        <v>8122.4940362479801</v>
      </c>
      <c r="AC29" s="124" t="s">
        <v>29</v>
      </c>
      <c r="AD29" s="124" t="s">
        <v>29</v>
      </c>
      <c r="AE29" s="124">
        <f t="shared" si="4"/>
        <v>8122.4940362479801</v>
      </c>
      <c r="AF29" s="124" t="s">
        <v>29</v>
      </c>
      <c r="AG29" s="124" t="s">
        <v>29</v>
      </c>
      <c r="AH29" s="124">
        <f t="shared" si="5"/>
        <v>8122.4940362479801</v>
      </c>
      <c r="AI29" s="124" t="s">
        <v>29</v>
      </c>
      <c r="AJ29" s="124" t="s">
        <v>29</v>
      </c>
      <c r="AK29" s="124">
        <f t="shared" si="6"/>
        <v>8122.4940362479801</v>
      </c>
      <c r="AL29" s="124" t="s">
        <v>29</v>
      </c>
      <c r="AM29" s="124" t="s">
        <v>29</v>
      </c>
      <c r="AN29" s="124">
        <f t="shared" si="7"/>
        <v>8122.4940362479801</v>
      </c>
      <c r="AO29" s="124" t="s">
        <v>29</v>
      </c>
      <c r="AP29" s="124" t="s">
        <v>29</v>
      </c>
      <c r="AQ29" s="124">
        <f t="shared" si="8"/>
        <v>8122.4940362479801</v>
      </c>
      <c r="AR29" s="124" t="s">
        <v>29</v>
      </c>
      <c r="AS29" s="124" t="s">
        <v>29</v>
      </c>
      <c r="AT29" s="124">
        <f t="shared" si="9"/>
        <v>8122.4940362479801</v>
      </c>
      <c r="AU29" s="124" t="s">
        <v>29</v>
      </c>
      <c r="AV29" s="124" t="s">
        <v>29</v>
      </c>
      <c r="AW29" s="124">
        <f t="shared" si="10"/>
        <v>8122.4940362479801</v>
      </c>
      <c r="AX29" s="124" t="s">
        <v>29</v>
      </c>
      <c r="AY29" s="124" t="s">
        <v>29</v>
      </c>
      <c r="AZ29" s="124">
        <f t="shared" si="11"/>
        <v>8122.4940362479801</v>
      </c>
      <c r="BA29" s="124" t="s">
        <v>29</v>
      </c>
      <c r="BB29" s="124" t="s">
        <v>29</v>
      </c>
      <c r="BC29" s="124">
        <f t="shared" si="12"/>
        <v>8122.4940362479801</v>
      </c>
      <c r="BD29" s="124" t="s">
        <v>29</v>
      </c>
      <c r="BE29" s="124" t="s">
        <v>29</v>
      </c>
      <c r="BF29" s="124">
        <f t="shared" si="13"/>
        <v>8122.4940362479801</v>
      </c>
      <c r="BG29" s="124" t="s">
        <v>29</v>
      </c>
      <c r="BH29" s="124" t="s">
        <v>29</v>
      </c>
      <c r="BI29" s="124">
        <f t="shared" si="14"/>
        <v>8122.4940362479801</v>
      </c>
      <c r="BJ29" s="124" t="s">
        <v>29</v>
      </c>
      <c r="BK29" s="124" t="s">
        <v>29</v>
      </c>
      <c r="BL29" s="124">
        <f t="shared" si="15"/>
        <v>8122.4940362479801</v>
      </c>
      <c r="BM29" s="124" t="s">
        <v>29</v>
      </c>
      <c r="BN29" s="124" t="s">
        <v>29</v>
      </c>
      <c r="BO29" s="124">
        <f t="shared" si="16"/>
        <v>8122.4940362479801</v>
      </c>
      <c r="BP29" s="124" t="s">
        <v>29</v>
      </c>
      <c r="BQ29" s="124" t="s">
        <v>29</v>
      </c>
      <c r="BR29" s="124">
        <f t="shared" si="17"/>
        <v>8122.4940362479801</v>
      </c>
      <c r="BS29" s="124" t="s">
        <v>29</v>
      </c>
      <c r="BT29" s="124" t="s">
        <v>29</v>
      </c>
      <c r="BU29" s="124">
        <f t="shared" si="18"/>
        <v>8122.4940362479801</v>
      </c>
      <c r="BV29" s="124" t="s">
        <v>29</v>
      </c>
      <c r="BW29" s="124" t="s">
        <v>29</v>
      </c>
      <c r="BX29" s="124">
        <f>[7]НР_стр.1_2!AB26</f>
        <v>262.54740306550502</v>
      </c>
      <c r="BY29" s="124" t="s">
        <v>29</v>
      </c>
      <c r="BZ29" s="124" t="s">
        <v>29</v>
      </c>
      <c r="CA29" s="124">
        <f>[7]НР_стр.1_2!AC26</f>
        <v>0</v>
      </c>
      <c r="CB29" s="124">
        <f>[7]НР_стр.1_2!AD26</f>
        <v>350.32527530649003</v>
      </c>
      <c r="CC29" s="124" t="s">
        <v>29</v>
      </c>
      <c r="CD29" s="124" t="s">
        <v>29</v>
      </c>
      <c r="CE29" s="124">
        <f>[7]НР_стр.1_2!AE26</f>
        <v>0</v>
      </c>
      <c r="CF29" s="124">
        <v>1203.7030726242201</v>
      </c>
      <c r="CG29" s="124" t="s">
        <v>29</v>
      </c>
      <c r="CH29" s="124" t="s">
        <v>29</v>
      </c>
      <c r="CI29" s="124">
        <v>1146.55730989323</v>
      </c>
      <c r="CJ29" s="124">
        <f t="shared" si="52"/>
        <v>-57.1457627309901</v>
      </c>
      <c r="CK29" s="124">
        <v>1822.5094059265</v>
      </c>
      <c r="CL29" s="124" t="s">
        <v>29</v>
      </c>
      <c r="CM29" s="124" t="s">
        <v>29</v>
      </c>
      <c r="CN29" s="124">
        <v>137.97529195200701</v>
      </c>
      <c r="CO29" s="124">
        <f t="shared" si="53"/>
        <v>-1684.534113974493</v>
      </c>
      <c r="CP29" s="124">
        <v>2887.1927755050401</v>
      </c>
      <c r="CQ29" s="124" t="s">
        <v>29</v>
      </c>
      <c r="CR29" s="124" t="s">
        <v>29</v>
      </c>
      <c r="CS29" s="124">
        <v>3640.1140959537802</v>
      </c>
      <c r="CT29" s="124" t="s">
        <v>29</v>
      </c>
      <c r="CU29" s="124" t="s">
        <v>29</v>
      </c>
      <c r="CV29" s="124">
        <v>3874.4620334636102</v>
      </c>
      <c r="CW29" s="124" t="s">
        <v>29</v>
      </c>
      <c r="CX29" s="124" t="s">
        <v>29</v>
      </c>
      <c r="CY29" s="277">
        <f t="shared" si="23"/>
        <v>3874.4620334636102</v>
      </c>
      <c r="CZ29" s="124" t="s">
        <v>29</v>
      </c>
      <c r="DA29" s="124" t="s">
        <v>29</v>
      </c>
      <c r="DB29" s="277">
        <f t="shared" si="24"/>
        <v>3874.4620334636102</v>
      </c>
      <c r="DC29" s="124" t="s">
        <v>29</v>
      </c>
      <c r="DD29" s="124" t="s">
        <v>29</v>
      </c>
      <c r="DE29" s="277">
        <f t="shared" si="25"/>
        <v>3874.4620334636102</v>
      </c>
      <c r="DF29" s="124" t="s">
        <v>29</v>
      </c>
      <c r="DG29" s="124" t="s">
        <v>29</v>
      </c>
      <c r="DH29" s="277">
        <f t="shared" si="26"/>
        <v>3874.4620334636102</v>
      </c>
      <c r="DI29" s="124" t="s">
        <v>29</v>
      </c>
      <c r="DJ29" s="124" t="s">
        <v>29</v>
      </c>
      <c r="DK29" s="277">
        <f t="shared" si="27"/>
        <v>3874.4620334636102</v>
      </c>
      <c r="DL29" s="124" t="s">
        <v>29</v>
      </c>
      <c r="DM29" s="124" t="s">
        <v>29</v>
      </c>
      <c r="DN29" s="277">
        <f t="shared" si="28"/>
        <v>3874.4620334636102</v>
      </c>
      <c r="DO29" s="124" t="s">
        <v>29</v>
      </c>
      <c r="DP29" s="124" t="s">
        <v>29</v>
      </c>
      <c r="DQ29" s="277">
        <f t="shared" si="29"/>
        <v>3874.4620334636102</v>
      </c>
      <c r="DR29" s="124" t="s">
        <v>29</v>
      </c>
      <c r="DS29" s="124" t="s">
        <v>29</v>
      </c>
      <c r="DT29" s="277">
        <f t="shared" si="30"/>
        <v>3874.4620334636102</v>
      </c>
      <c r="DU29" s="124" t="s">
        <v>29</v>
      </c>
      <c r="DV29" s="124" t="s">
        <v>29</v>
      </c>
      <c r="DW29" s="277">
        <f t="shared" si="31"/>
        <v>3874.4620334636102</v>
      </c>
      <c r="DX29" s="124" t="s">
        <v>29</v>
      </c>
      <c r="DY29" s="124" t="s">
        <v>29</v>
      </c>
      <c r="DZ29" s="277">
        <f t="shared" si="32"/>
        <v>3874.4620334636102</v>
      </c>
      <c r="EA29" s="124" t="s">
        <v>29</v>
      </c>
      <c r="EB29" s="124" t="s">
        <v>29</v>
      </c>
      <c r="EC29" s="277">
        <f t="shared" si="33"/>
        <v>3874.4620334636102</v>
      </c>
      <c r="ED29" s="124" t="s">
        <v>29</v>
      </c>
      <c r="EE29" s="124" t="s">
        <v>29</v>
      </c>
      <c r="EF29" s="277">
        <f t="shared" si="34"/>
        <v>3874.4620334636102</v>
      </c>
      <c r="EG29" s="124" t="s">
        <v>29</v>
      </c>
      <c r="EH29" s="124" t="s">
        <v>29</v>
      </c>
      <c r="EI29" s="277">
        <f t="shared" si="35"/>
        <v>3874.4620334636102</v>
      </c>
      <c r="EJ29" s="124" t="s">
        <v>29</v>
      </c>
      <c r="EK29" s="124" t="s">
        <v>29</v>
      </c>
      <c r="EL29" s="277">
        <f t="shared" si="36"/>
        <v>3874.4620334636102</v>
      </c>
      <c r="EM29" s="124" t="s">
        <v>29</v>
      </c>
      <c r="EN29" s="124" t="s">
        <v>29</v>
      </c>
      <c r="EO29" s="277">
        <f t="shared" si="37"/>
        <v>3874.4620334636102</v>
      </c>
      <c r="EP29" s="124" t="s">
        <v>29</v>
      </c>
      <c r="EQ29" s="124" t="s">
        <v>29</v>
      </c>
    </row>
    <row r="30" spans="1:147">
      <c r="A30" s="125" t="s">
        <v>389</v>
      </c>
      <c r="B30" s="126" t="s">
        <v>390</v>
      </c>
      <c r="C30" s="122" t="s">
        <v>349</v>
      </c>
      <c r="D30" s="124">
        <f>[7]НР_стр.1_2!D27</f>
        <v>133.12115972920299</v>
      </c>
      <c r="E30" s="124" t="s">
        <v>29</v>
      </c>
      <c r="F30" s="124" t="s">
        <v>29</v>
      </c>
      <c r="G30" s="124">
        <f>[7]НР_стр.1_2!E27</f>
        <v>228</v>
      </c>
      <c r="H30" s="124">
        <f>[7]НР_стр.1_2!F27</f>
        <v>308.20140636945899</v>
      </c>
      <c r="I30" s="124" t="s">
        <v>29</v>
      </c>
      <c r="J30" s="124" t="s">
        <v>29</v>
      </c>
      <c r="K30" s="124">
        <f>[7]НР_стр.1_2!G27</f>
        <v>0</v>
      </c>
      <c r="L30" s="124">
        <v>6723.7641506939799</v>
      </c>
      <c r="M30" s="124" t="s">
        <v>29</v>
      </c>
      <c r="N30" s="124" t="s">
        <v>29</v>
      </c>
      <c r="O30" s="124">
        <v>1587.7659000000001</v>
      </c>
      <c r="P30" s="124">
        <f t="shared" si="50"/>
        <v>-5135.9982506939796</v>
      </c>
      <c r="Q30" s="124">
        <v>7648.33</v>
      </c>
      <c r="R30" s="124">
        <v>7648.33</v>
      </c>
      <c r="S30" s="124">
        <v>7648.33</v>
      </c>
      <c r="T30" s="124">
        <v>1785.35528</v>
      </c>
      <c r="U30" s="124">
        <f t="shared" si="51"/>
        <v>-5862.9747200000002</v>
      </c>
      <c r="V30" s="124">
        <v>7611.76</v>
      </c>
      <c r="W30" s="124" t="s">
        <v>29</v>
      </c>
      <c r="X30" s="124" t="s">
        <v>29</v>
      </c>
      <c r="Y30" s="124">
        <v>7721.31</v>
      </c>
      <c r="Z30" s="124" t="s">
        <v>29</v>
      </c>
      <c r="AA30" s="124" t="s">
        <v>29</v>
      </c>
      <c r="AB30" s="124">
        <v>7924.69</v>
      </c>
      <c r="AC30" s="124" t="s">
        <v>29</v>
      </c>
      <c r="AD30" s="124" t="s">
        <v>29</v>
      </c>
      <c r="AE30" s="124">
        <f t="shared" si="4"/>
        <v>7924.69</v>
      </c>
      <c r="AF30" s="124" t="s">
        <v>29</v>
      </c>
      <c r="AG30" s="124" t="s">
        <v>29</v>
      </c>
      <c r="AH30" s="124">
        <f t="shared" si="5"/>
        <v>7924.69</v>
      </c>
      <c r="AI30" s="124" t="s">
        <v>29</v>
      </c>
      <c r="AJ30" s="124" t="s">
        <v>29</v>
      </c>
      <c r="AK30" s="124">
        <f t="shared" si="6"/>
        <v>7924.69</v>
      </c>
      <c r="AL30" s="124" t="s">
        <v>29</v>
      </c>
      <c r="AM30" s="124" t="s">
        <v>29</v>
      </c>
      <c r="AN30" s="124">
        <f t="shared" si="7"/>
        <v>7924.69</v>
      </c>
      <c r="AO30" s="124" t="s">
        <v>29</v>
      </c>
      <c r="AP30" s="124" t="s">
        <v>29</v>
      </c>
      <c r="AQ30" s="124">
        <f t="shared" si="8"/>
        <v>7924.69</v>
      </c>
      <c r="AR30" s="124" t="s">
        <v>29</v>
      </c>
      <c r="AS30" s="124" t="s">
        <v>29</v>
      </c>
      <c r="AT30" s="124">
        <f t="shared" si="9"/>
        <v>7924.69</v>
      </c>
      <c r="AU30" s="124" t="s">
        <v>29</v>
      </c>
      <c r="AV30" s="124" t="s">
        <v>29</v>
      </c>
      <c r="AW30" s="124">
        <f t="shared" si="10"/>
        <v>7924.69</v>
      </c>
      <c r="AX30" s="124" t="s">
        <v>29</v>
      </c>
      <c r="AY30" s="124" t="s">
        <v>29</v>
      </c>
      <c r="AZ30" s="124">
        <f t="shared" si="11"/>
        <v>7924.69</v>
      </c>
      <c r="BA30" s="124" t="s">
        <v>29</v>
      </c>
      <c r="BB30" s="124" t="s">
        <v>29</v>
      </c>
      <c r="BC30" s="124">
        <f t="shared" si="12"/>
        <v>7924.69</v>
      </c>
      <c r="BD30" s="124" t="s">
        <v>29</v>
      </c>
      <c r="BE30" s="124" t="s">
        <v>29</v>
      </c>
      <c r="BF30" s="124">
        <f t="shared" si="13"/>
        <v>7924.69</v>
      </c>
      <c r="BG30" s="124" t="s">
        <v>29</v>
      </c>
      <c r="BH30" s="124" t="s">
        <v>29</v>
      </c>
      <c r="BI30" s="124">
        <f t="shared" si="14"/>
        <v>7924.69</v>
      </c>
      <c r="BJ30" s="124" t="s">
        <v>29</v>
      </c>
      <c r="BK30" s="124" t="s">
        <v>29</v>
      </c>
      <c r="BL30" s="124">
        <f t="shared" si="15"/>
        <v>7924.69</v>
      </c>
      <c r="BM30" s="124" t="s">
        <v>29</v>
      </c>
      <c r="BN30" s="124" t="s">
        <v>29</v>
      </c>
      <c r="BO30" s="124">
        <f t="shared" si="16"/>
        <v>7924.69</v>
      </c>
      <c r="BP30" s="124" t="s">
        <v>29</v>
      </c>
      <c r="BQ30" s="124" t="s">
        <v>29</v>
      </c>
      <c r="BR30" s="124">
        <f t="shared" si="17"/>
        <v>7924.69</v>
      </c>
      <c r="BS30" s="124" t="s">
        <v>29</v>
      </c>
      <c r="BT30" s="124" t="s">
        <v>29</v>
      </c>
      <c r="BU30" s="124">
        <f t="shared" si="18"/>
        <v>7924.69</v>
      </c>
      <c r="BV30" s="124" t="s">
        <v>29</v>
      </c>
      <c r="BW30" s="124" t="s">
        <v>29</v>
      </c>
      <c r="BX30" s="124">
        <f>[7]НР_стр.1_2!AB27</f>
        <v>105.88608510255401</v>
      </c>
      <c r="BY30" s="124" t="s">
        <v>29</v>
      </c>
      <c r="BZ30" s="124" t="s">
        <v>29</v>
      </c>
      <c r="CA30" s="124">
        <f>[7]НР_стр.1_2!AC27</f>
        <v>155</v>
      </c>
      <c r="CB30" s="124">
        <f>[7]НР_стр.1_2!AD27</f>
        <v>196.41301127054101</v>
      </c>
      <c r="CC30" s="124" t="s">
        <v>29</v>
      </c>
      <c r="CD30" s="124" t="s">
        <v>29</v>
      </c>
      <c r="CE30" s="124">
        <f>[7]НР_стр.1_2!AE27</f>
        <v>0</v>
      </c>
      <c r="CF30" s="124">
        <v>2594.5861304724699</v>
      </c>
      <c r="CG30" s="124" t="s">
        <v>29</v>
      </c>
      <c r="CH30" s="124" t="s">
        <v>29</v>
      </c>
      <c r="CI30" s="124">
        <v>1124.46603</v>
      </c>
      <c r="CJ30" s="124">
        <f t="shared" si="52"/>
        <v>-1470.1201004724699</v>
      </c>
      <c r="CK30" s="124">
        <v>2760.74</v>
      </c>
      <c r="CL30" s="124" t="s">
        <v>29</v>
      </c>
      <c r="CM30" s="124" t="s">
        <v>29</v>
      </c>
      <c r="CN30" s="124">
        <v>1290.86952</v>
      </c>
      <c r="CO30" s="124">
        <f t="shared" si="53"/>
        <v>-1469.8704799999998</v>
      </c>
      <c r="CP30" s="124">
        <v>2831.34</v>
      </c>
      <c r="CQ30" s="124" t="s">
        <v>29</v>
      </c>
      <c r="CR30" s="124" t="s">
        <v>29</v>
      </c>
      <c r="CS30" s="124">
        <v>3018.98</v>
      </c>
      <c r="CT30" s="124" t="s">
        <v>29</v>
      </c>
      <c r="CU30" s="124" t="s">
        <v>29</v>
      </c>
      <c r="CV30" s="124">
        <v>3232.34</v>
      </c>
      <c r="CW30" s="124" t="s">
        <v>29</v>
      </c>
      <c r="CX30" s="124" t="s">
        <v>29</v>
      </c>
      <c r="CY30" s="277">
        <f t="shared" si="23"/>
        <v>3232.34</v>
      </c>
      <c r="CZ30" s="124" t="s">
        <v>29</v>
      </c>
      <c r="DA30" s="124" t="s">
        <v>29</v>
      </c>
      <c r="DB30" s="277">
        <f t="shared" si="24"/>
        <v>3232.34</v>
      </c>
      <c r="DC30" s="124" t="s">
        <v>29</v>
      </c>
      <c r="DD30" s="124" t="s">
        <v>29</v>
      </c>
      <c r="DE30" s="277">
        <f t="shared" si="25"/>
        <v>3232.34</v>
      </c>
      <c r="DF30" s="124" t="s">
        <v>29</v>
      </c>
      <c r="DG30" s="124" t="s">
        <v>29</v>
      </c>
      <c r="DH30" s="277">
        <f t="shared" si="26"/>
        <v>3232.34</v>
      </c>
      <c r="DI30" s="124" t="s">
        <v>29</v>
      </c>
      <c r="DJ30" s="124" t="s">
        <v>29</v>
      </c>
      <c r="DK30" s="277">
        <f t="shared" si="27"/>
        <v>3232.34</v>
      </c>
      <c r="DL30" s="124" t="s">
        <v>29</v>
      </c>
      <c r="DM30" s="124" t="s">
        <v>29</v>
      </c>
      <c r="DN30" s="277">
        <f t="shared" si="28"/>
        <v>3232.34</v>
      </c>
      <c r="DO30" s="124" t="s">
        <v>29</v>
      </c>
      <c r="DP30" s="124" t="s">
        <v>29</v>
      </c>
      <c r="DQ30" s="277">
        <f t="shared" si="29"/>
        <v>3232.34</v>
      </c>
      <c r="DR30" s="124" t="s">
        <v>29</v>
      </c>
      <c r="DS30" s="124" t="s">
        <v>29</v>
      </c>
      <c r="DT30" s="277">
        <f t="shared" si="30"/>
        <v>3232.34</v>
      </c>
      <c r="DU30" s="124" t="s">
        <v>29</v>
      </c>
      <c r="DV30" s="124" t="s">
        <v>29</v>
      </c>
      <c r="DW30" s="277">
        <f t="shared" si="31"/>
        <v>3232.34</v>
      </c>
      <c r="DX30" s="124" t="s">
        <v>29</v>
      </c>
      <c r="DY30" s="124" t="s">
        <v>29</v>
      </c>
      <c r="DZ30" s="277">
        <f t="shared" si="32"/>
        <v>3232.34</v>
      </c>
      <c r="EA30" s="124" t="s">
        <v>29</v>
      </c>
      <c r="EB30" s="124" t="s">
        <v>29</v>
      </c>
      <c r="EC30" s="277">
        <f t="shared" si="33"/>
        <v>3232.34</v>
      </c>
      <c r="ED30" s="124" t="s">
        <v>29</v>
      </c>
      <c r="EE30" s="124" t="s">
        <v>29</v>
      </c>
      <c r="EF30" s="277">
        <f t="shared" si="34"/>
        <v>3232.34</v>
      </c>
      <c r="EG30" s="124" t="s">
        <v>29</v>
      </c>
      <c r="EH30" s="124" t="s">
        <v>29</v>
      </c>
      <c r="EI30" s="277">
        <f t="shared" si="35"/>
        <v>3232.34</v>
      </c>
      <c r="EJ30" s="124" t="s">
        <v>29</v>
      </c>
      <c r="EK30" s="124" t="s">
        <v>29</v>
      </c>
      <c r="EL30" s="277">
        <f t="shared" si="36"/>
        <v>3232.34</v>
      </c>
      <c r="EM30" s="124" t="s">
        <v>29</v>
      </c>
      <c r="EN30" s="124" t="s">
        <v>29</v>
      </c>
      <c r="EO30" s="277">
        <f t="shared" si="37"/>
        <v>3232.34</v>
      </c>
      <c r="EP30" s="124" t="s">
        <v>29</v>
      </c>
      <c r="EQ30" s="124" t="s">
        <v>29</v>
      </c>
    </row>
    <row r="31" spans="1:147" ht="30">
      <c r="A31" s="125" t="s">
        <v>391</v>
      </c>
      <c r="B31" s="126" t="s">
        <v>392</v>
      </c>
      <c r="C31" s="122" t="s">
        <v>349</v>
      </c>
      <c r="D31" s="124">
        <f>[7]НР_стр.1_2!D28</f>
        <v>1475.4873158069599</v>
      </c>
      <c r="E31" s="124" t="s">
        <v>29</v>
      </c>
      <c r="F31" s="124" t="s">
        <v>29</v>
      </c>
      <c r="G31" s="124">
        <f>[7]НР_стр.1_2!E28</f>
        <v>1376</v>
      </c>
      <c r="H31" s="124">
        <f>[7]НР_стр.1_2!F28</f>
        <v>3648.6253446651799</v>
      </c>
      <c r="I31" s="124" t="s">
        <v>29</v>
      </c>
      <c r="J31" s="124" t="s">
        <v>29</v>
      </c>
      <c r="K31" s="124">
        <f>[7]НР_стр.1_2!G28</f>
        <v>0</v>
      </c>
      <c r="L31" s="124">
        <v>1376.0347899999999</v>
      </c>
      <c r="M31" s="124" t="s">
        <v>29</v>
      </c>
      <c r="N31" s="124" t="s">
        <v>29</v>
      </c>
      <c r="O31" s="124">
        <v>1997.06323</v>
      </c>
      <c r="P31" s="124">
        <f t="shared" si="50"/>
        <v>621.02844000000005</v>
      </c>
      <c r="Q31" s="124">
        <v>1376.0347899999999</v>
      </c>
      <c r="R31" s="124">
        <v>1376.0347899999999</v>
      </c>
      <c r="S31" s="124">
        <v>1376.0347899999999</v>
      </c>
      <c r="T31" s="124">
        <v>702.29719999999998</v>
      </c>
      <c r="U31" s="124">
        <f t="shared" si="51"/>
        <v>-673.73758999999995</v>
      </c>
      <c r="V31" s="124">
        <v>1376.0347899999999</v>
      </c>
      <c r="W31" s="124" t="s">
        <v>29</v>
      </c>
      <c r="X31" s="124" t="s">
        <v>29</v>
      </c>
      <c r="Y31" s="124">
        <v>1376.0347899999999</v>
      </c>
      <c r="Z31" s="124" t="s">
        <v>29</v>
      </c>
      <c r="AA31" s="124" t="s">
        <v>29</v>
      </c>
      <c r="AB31" s="124">
        <v>1376.0347899999999</v>
      </c>
      <c r="AC31" s="124" t="s">
        <v>29</v>
      </c>
      <c r="AD31" s="124" t="s">
        <v>29</v>
      </c>
      <c r="AE31" s="124">
        <f t="shared" si="4"/>
        <v>1376.0347899999999</v>
      </c>
      <c r="AF31" s="124" t="s">
        <v>29</v>
      </c>
      <c r="AG31" s="124" t="s">
        <v>29</v>
      </c>
      <c r="AH31" s="124">
        <f t="shared" si="5"/>
        <v>1376.0347899999999</v>
      </c>
      <c r="AI31" s="124" t="s">
        <v>29</v>
      </c>
      <c r="AJ31" s="124" t="s">
        <v>29</v>
      </c>
      <c r="AK31" s="124">
        <f t="shared" si="6"/>
        <v>1376.0347899999999</v>
      </c>
      <c r="AL31" s="124" t="s">
        <v>29</v>
      </c>
      <c r="AM31" s="124" t="s">
        <v>29</v>
      </c>
      <c r="AN31" s="124">
        <f t="shared" si="7"/>
        <v>1376.0347899999999</v>
      </c>
      <c r="AO31" s="124" t="s">
        <v>29</v>
      </c>
      <c r="AP31" s="124" t="s">
        <v>29</v>
      </c>
      <c r="AQ31" s="124">
        <f t="shared" si="8"/>
        <v>1376.0347899999999</v>
      </c>
      <c r="AR31" s="124" t="s">
        <v>29</v>
      </c>
      <c r="AS31" s="124" t="s">
        <v>29</v>
      </c>
      <c r="AT31" s="124">
        <f t="shared" si="9"/>
        <v>1376.0347899999999</v>
      </c>
      <c r="AU31" s="124" t="s">
        <v>29</v>
      </c>
      <c r="AV31" s="124" t="s">
        <v>29</v>
      </c>
      <c r="AW31" s="124">
        <f t="shared" si="10"/>
        <v>1376.0347899999999</v>
      </c>
      <c r="AX31" s="124" t="s">
        <v>29</v>
      </c>
      <c r="AY31" s="124" t="s">
        <v>29</v>
      </c>
      <c r="AZ31" s="124">
        <f t="shared" si="11"/>
        <v>1376.0347899999999</v>
      </c>
      <c r="BA31" s="124" t="s">
        <v>29</v>
      </c>
      <c r="BB31" s="124" t="s">
        <v>29</v>
      </c>
      <c r="BC31" s="124">
        <f t="shared" si="12"/>
        <v>1376.0347899999999</v>
      </c>
      <c r="BD31" s="124" t="s">
        <v>29</v>
      </c>
      <c r="BE31" s="124" t="s">
        <v>29</v>
      </c>
      <c r="BF31" s="124">
        <f t="shared" si="13"/>
        <v>1376.0347899999999</v>
      </c>
      <c r="BG31" s="124" t="s">
        <v>29</v>
      </c>
      <c r="BH31" s="124" t="s">
        <v>29</v>
      </c>
      <c r="BI31" s="124">
        <f t="shared" si="14"/>
        <v>1376.0347899999999</v>
      </c>
      <c r="BJ31" s="124" t="s">
        <v>29</v>
      </c>
      <c r="BK31" s="124" t="s">
        <v>29</v>
      </c>
      <c r="BL31" s="124">
        <f t="shared" si="15"/>
        <v>1376.0347899999999</v>
      </c>
      <c r="BM31" s="124" t="s">
        <v>29</v>
      </c>
      <c r="BN31" s="124" t="s">
        <v>29</v>
      </c>
      <c r="BO31" s="124">
        <f t="shared" si="16"/>
        <v>1376.0347899999999</v>
      </c>
      <c r="BP31" s="124" t="s">
        <v>29</v>
      </c>
      <c r="BQ31" s="124" t="s">
        <v>29</v>
      </c>
      <c r="BR31" s="124">
        <f t="shared" si="17"/>
        <v>1376.0347899999999</v>
      </c>
      <c r="BS31" s="124" t="s">
        <v>29</v>
      </c>
      <c r="BT31" s="124" t="s">
        <v>29</v>
      </c>
      <c r="BU31" s="124">
        <f t="shared" si="18"/>
        <v>1376.0347899999999</v>
      </c>
      <c r="BV31" s="124" t="s">
        <v>29</v>
      </c>
      <c r="BW31" s="124" t="s">
        <v>29</v>
      </c>
      <c r="BX31" s="124">
        <f>[7]НР_стр.1_2!AB28</f>
        <v>2003.3751056169799</v>
      </c>
      <c r="BY31" s="124" t="s">
        <v>29</v>
      </c>
      <c r="BZ31" s="124" t="s">
        <v>29</v>
      </c>
      <c r="CA31" s="124">
        <f>[7]НР_стр.1_2!AC28</f>
        <v>2061</v>
      </c>
      <c r="CB31" s="124">
        <f>[7]НР_стр.1_2!AD28</f>
        <v>2136.9759357228299</v>
      </c>
      <c r="CC31" s="124" t="s">
        <v>29</v>
      </c>
      <c r="CD31" s="124" t="s">
        <v>29</v>
      </c>
      <c r="CE31" s="124">
        <f>[7]НР_стр.1_2!AE28</f>
        <v>0</v>
      </c>
      <c r="CF31" s="124">
        <v>2136.9759357228299</v>
      </c>
      <c r="CG31" s="124" t="s">
        <v>29</v>
      </c>
      <c r="CH31" s="124" t="s">
        <v>29</v>
      </c>
      <c r="CI31" s="124">
        <v>2078.7984900000001</v>
      </c>
      <c r="CJ31" s="124">
        <f t="shared" si="52"/>
        <v>-58.177445722829816</v>
      </c>
      <c r="CK31" s="124">
        <v>2136.9759357228299</v>
      </c>
      <c r="CL31" s="124" t="s">
        <v>29</v>
      </c>
      <c r="CM31" s="124" t="s">
        <v>29</v>
      </c>
      <c r="CN31" s="124">
        <v>564.06994999999995</v>
      </c>
      <c r="CO31" s="124">
        <f t="shared" si="53"/>
        <v>-1572.9059857228299</v>
      </c>
      <c r="CP31" s="124">
        <v>2136.9759357228299</v>
      </c>
      <c r="CQ31" s="124" t="s">
        <v>29</v>
      </c>
      <c r="CR31" s="124" t="s">
        <v>29</v>
      </c>
      <c r="CS31" s="124">
        <v>2136.9759357228299</v>
      </c>
      <c r="CT31" s="124" t="s">
        <v>29</v>
      </c>
      <c r="CU31" s="124" t="s">
        <v>29</v>
      </c>
      <c r="CV31" s="124">
        <v>2136.9759357228299</v>
      </c>
      <c r="CW31" s="124" t="s">
        <v>29</v>
      </c>
      <c r="CX31" s="124" t="s">
        <v>29</v>
      </c>
      <c r="CY31" s="277">
        <f t="shared" si="23"/>
        <v>2136.9759357228299</v>
      </c>
      <c r="CZ31" s="124" t="s">
        <v>29</v>
      </c>
      <c r="DA31" s="124" t="s">
        <v>29</v>
      </c>
      <c r="DB31" s="277">
        <f t="shared" si="24"/>
        <v>2136.9759357228299</v>
      </c>
      <c r="DC31" s="124" t="s">
        <v>29</v>
      </c>
      <c r="DD31" s="124" t="s">
        <v>29</v>
      </c>
      <c r="DE31" s="277">
        <f t="shared" si="25"/>
        <v>2136.9759357228299</v>
      </c>
      <c r="DF31" s="124" t="s">
        <v>29</v>
      </c>
      <c r="DG31" s="124" t="s">
        <v>29</v>
      </c>
      <c r="DH31" s="277">
        <f t="shared" si="26"/>
        <v>2136.9759357228299</v>
      </c>
      <c r="DI31" s="124" t="s">
        <v>29</v>
      </c>
      <c r="DJ31" s="124" t="s">
        <v>29</v>
      </c>
      <c r="DK31" s="277">
        <f t="shared" si="27"/>
        <v>2136.9759357228299</v>
      </c>
      <c r="DL31" s="124" t="s">
        <v>29</v>
      </c>
      <c r="DM31" s="124" t="s">
        <v>29</v>
      </c>
      <c r="DN31" s="277">
        <f t="shared" si="28"/>
        <v>2136.9759357228299</v>
      </c>
      <c r="DO31" s="124" t="s">
        <v>29</v>
      </c>
      <c r="DP31" s="124" t="s">
        <v>29</v>
      </c>
      <c r="DQ31" s="277">
        <f t="shared" si="29"/>
        <v>2136.9759357228299</v>
      </c>
      <c r="DR31" s="124" t="s">
        <v>29</v>
      </c>
      <c r="DS31" s="124" t="s">
        <v>29</v>
      </c>
      <c r="DT31" s="277">
        <f t="shared" si="30"/>
        <v>2136.9759357228299</v>
      </c>
      <c r="DU31" s="124" t="s">
        <v>29</v>
      </c>
      <c r="DV31" s="124" t="s">
        <v>29</v>
      </c>
      <c r="DW31" s="277">
        <f t="shared" si="31"/>
        <v>2136.9759357228299</v>
      </c>
      <c r="DX31" s="124" t="s">
        <v>29</v>
      </c>
      <c r="DY31" s="124" t="s">
        <v>29</v>
      </c>
      <c r="DZ31" s="277">
        <f t="shared" si="32"/>
        <v>2136.9759357228299</v>
      </c>
      <c r="EA31" s="124" t="s">
        <v>29</v>
      </c>
      <c r="EB31" s="124" t="s">
        <v>29</v>
      </c>
      <c r="EC31" s="277">
        <f t="shared" si="33"/>
        <v>2136.9759357228299</v>
      </c>
      <c r="ED31" s="124" t="s">
        <v>29</v>
      </c>
      <c r="EE31" s="124" t="s">
        <v>29</v>
      </c>
      <c r="EF31" s="277">
        <f t="shared" si="34"/>
        <v>2136.9759357228299</v>
      </c>
      <c r="EG31" s="124" t="s">
        <v>29</v>
      </c>
      <c r="EH31" s="124" t="s">
        <v>29</v>
      </c>
      <c r="EI31" s="277">
        <f t="shared" si="35"/>
        <v>2136.9759357228299</v>
      </c>
      <c r="EJ31" s="124" t="s">
        <v>29</v>
      </c>
      <c r="EK31" s="124" t="s">
        <v>29</v>
      </c>
      <c r="EL31" s="277">
        <f t="shared" si="36"/>
        <v>2136.9759357228299</v>
      </c>
      <c r="EM31" s="124" t="s">
        <v>29</v>
      </c>
      <c r="EN31" s="124" t="s">
        <v>29</v>
      </c>
      <c r="EO31" s="277">
        <f t="shared" si="37"/>
        <v>2136.9759357228299</v>
      </c>
      <c r="EP31" s="124" t="s">
        <v>29</v>
      </c>
      <c r="EQ31" s="124" t="s">
        <v>29</v>
      </c>
    </row>
    <row r="32" spans="1:147">
      <c r="A32" s="125" t="s">
        <v>393</v>
      </c>
      <c r="B32" s="126" t="s">
        <v>394</v>
      </c>
      <c r="C32" s="122" t="s">
        <v>349</v>
      </c>
      <c r="D32" s="124">
        <f>[7]НР_стр.1_2!D29</f>
        <v>0</v>
      </c>
      <c r="E32" s="124" t="s">
        <v>29</v>
      </c>
      <c r="F32" s="124" t="s">
        <v>29</v>
      </c>
      <c r="G32" s="124">
        <f>[7]НР_стр.1_2!E29</f>
        <v>0</v>
      </c>
      <c r="H32" s="124">
        <f>[7]НР_стр.1_2!F29</f>
        <v>0</v>
      </c>
      <c r="I32" s="124" t="s">
        <v>29</v>
      </c>
      <c r="J32" s="124" t="s">
        <v>29</v>
      </c>
      <c r="K32" s="124">
        <f>[7]НР_стр.1_2!G29</f>
        <v>0</v>
      </c>
      <c r="L32" s="124">
        <v>0</v>
      </c>
      <c r="M32" s="124" t="s">
        <v>29</v>
      </c>
      <c r="N32" s="124" t="s">
        <v>29</v>
      </c>
      <c r="O32" s="124">
        <v>6274.357</v>
      </c>
      <c r="P32" s="124">
        <f t="shared" si="50"/>
        <v>6274.357</v>
      </c>
      <c r="Q32" s="124">
        <v>0</v>
      </c>
      <c r="R32" s="124">
        <v>0</v>
      </c>
      <c r="S32" s="124">
        <v>0</v>
      </c>
      <c r="T32" s="124">
        <v>5901.7</v>
      </c>
      <c r="U32" s="124">
        <f t="shared" si="51"/>
        <v>5901.7</v>
      </c>
      <c r="V32" s="124">
        <v>0</v>
      </c>
      <c r="W32" s="124" t="s">
        <v>29</v>
      </c>
      <c r="X32" s="124" t="s">
        <v>29</v>
      </c>
      <c r="Y32" s="124">
        <v>0</v>
      </c>
      <c r="Z32" s="124" t="s">
        <v>29</v>
      </c>
      <c r="AA32" s="124" t="s">
        <v>29</v>
      </c>
      <c r="AB32" s="124">
        <v>0</v>
      </c>
      <c r="AC32" s="124" t="s">
        <v>29</v>
      </c>
      <c r="AD32" s="124" t="s">
        <v>29</v>
      </c>
      <c r="AE32" s="124">
        <f t="shared" si="4"/>
        <v>0</v>
      </c>
      <c r="AF32" s="124" t="s">
        <v>29</v>
      </c>
      <c r="AG32" s="124" t="s">
        <v>29</v>
      </c>
      <c r="AH32" s="124">
        <f t="shared" si="5"/>
        <v>0</v>
      </c>
      <c r="AI32" s="124" t="s">
        <v>29</v>
      </c>
      <c r="AJ32" s="124" t="s">
        <v>29</v>
      </c>
      <c r="AK32" s="124">
        <f t="shared" si="6"/>
        <v>0</v>
      </c>
      <c r="AL32" s="124" t="s">
        <v>29</v>
      </c>
      <c r="AM32" s="124" t="s">
        <v>29</v>
      </c>
      <c r="AN32" s="124">
        <f t="shared" si="7"/>
        <v>0</v>
      </c>
      <c r="AO32" s="124" t="s">
        <v>29</v>
      </c>
      <c r="AP32" s="124" t="s">
        <v>29</v>
      </c>
      <c r="AQ32" s="124">
        <f t="shared" si="8"/>
        <v>0</v>
      </c>
      <c r="AR32" s="124" t="s">
        <v>29</v>
      </c>
      <c r="AS32" s="124" t="s">
        <v>29</v>
      </c>
      <c r="AT32" s="124">
        <f t="shared" si="9"/>
        <v>0</v>
      </c>
      <c r="AU32" s="124" t="s">
        <v>29</v>
      </c>
      <c r="AV32" s="124" t="s">
        <v>29</v>
      </c>
      <c r="AW32" s="124">
        <f t="shared" si="10"/>
        <v>0</v>
      </c>
      <c r="AX32" s="124" t="s">
        <v>29</v>
      </c>
      <c r="AY32" s="124" t="s">
        <v>29</v>
      </c>
      <c r="AZ32" s="124">
        <f t="shared" si="11"/>
        <v>0</v>
      </c>
      <c r="BA32" s="124" t="s">
        <v>29</v>
      </c>
      <c r="BB32" s="124" t="s">
        <v>29</v>
      </c>
      <c r="BC32" s="124">
        <f t="shared" si="12"/>
        <v>0</v>
      </c>
      <c r="BD32" s="124" t="s">
        <v>29</v>
      </c>
      <c r="BE32" s="124" t="s">
        <v>29</v>
      </c>
      <c r="BF32" s="124">
        <f t="shared" si="13"/>
        <v>0</v>
      </c>
      <c r="BG32" s="124" t="s">
        <v>29</v>
      </c>
      <c r="BH32" s="124" t="s">
        <v>29</v>
      </c>
      <c r="BI32" s="124">
        <f t="shared" si="14"/>
        <v>0</v>
      </c>
      <c r="BJ32" s="124" t="s">
        <v>29</v>
      </c>
      <c r="BK32" s="124" t="s">
        <v>29</v>
      </c>
      <c r="BL32" s="124">
        <f t="shared" si="15"/>
        <v>0</v>
      </c>
      <c r="BM32" s="124" t="s">
        <v>29</v>
      </c>
      <c r="BN32" s="124" t="s">
        <v>29</v>
      </c>
      <c r="BO32" s="124">
        <f t="shared" si="16"/>
        <v>0</v>
      </c>
      <c r="BP32" s="124" t="s">
        <v>29</v>
      </c>
      <c r="BQ32" s="124" t="s">
        <v>29</v>
      </c>
      <c r="BR32" s="124">
        <f t="shared" si="17"/>
        <v>0</v>
      </c>
      <c r="BS32" s="124" t="s">
        <v>29</v>
      </c>
      <c r="BT32" s="124" t="s">
        <v>29</v>
      </c>
      <c r="BU32" s="124">
        <f t="shared" si="18"/>
        <v>0</v>
      </c>
      <c r="BV32" s="124" t="s">
        <v>29</v>
      </c>
      <c r="BW32" s="124" t="s">
        <v>29</v>
      </c>
      <c r="BX32" s="124">
        <f>[7]НР_стр.1_2!AB29</f>
        <v>0</v>
      </c>
      <c r="BY32" s="124" t="s">
        <v>29</v>
      </c>
      <c r="BZ32" s="124" t="s">
        <v>29</v>
      </c>
      <c r="CA32" s="124">
        <f>[7]НР_стр.1_2!AC29</f>
        <v>0</v>
      </c>
      <c r="CB32" s="124">
        <f>[7]НР_стр.1_2!AD29</f>
        <v>0</v>
      </c>
      <c r="CC32" s="124" t="s">
        <v>29</v>
      </c>
      <c r="CD32" s="124" t="s">
        <v>29</v>
      </c>
      <c r="CE32" s="124">
        <f>[7]НР_стр.1_2!AE29</f>
        <v>0</v>
      </c>
      <c r="CF32" s="124">
        <v>0</v>
      </c>
      <c r="CG32" s="124" t="s">
        <v>29</v>
      </c>
      <c r="CH32" s="124" t="s">
        <v>29</v>
      </c>
      <c r="CI32" s="124">
        <v>0</v>
      </c>
      <c r="CJ32" s="124">
        <f t="shared" si="52"/>
        <v>0</v>
      </c>
      <c r="CK32" s="124">
        <v>0</v>
      </c>
      <c r="CL32" s="124" t="s">
        <v>29</v>
      </c>
      <c r="CM32" s="124" t="s">
        <v>29</v>
      </c>
      <c r="CN32" s="124">
        <v>0</v>
      </c>
      <c r="CO32" s="124">
        <f t="shared" si="53"/>
        <v>0</v>
      </c>
      <c r="CP32" s="124">
        <v>0</v>
      </c>
      <c r="CQ32" s="124" t="s">
        <v>29</v>
      </c>
      <c r="CR32" s="124" t="s">
        <v>29</v>
      </c>
      <c r="CS32" s="124">
        <v>0</v>
      </c>
      <c r="CT32" s="124" t="s">
        <v>29</v>
      </c>
      <c r="CU32" s="124" t="s">
        <v>29</v>
      </c>
      <c r="CV32" s="124">
        <v>0</v>
      </c>
      <c r="CW32" s="124" t="s">
        <v>29</v>
      </c>
      <c r="CX32" s="124" t="s">
        <v>29</v>
      </c>
      <c r="CY32" s="277">
        <f t="shared" si="23"/>
        <v>0</v>
      </c>
      <c r="CZ32" s="124" t="s">
        <v>29</v>
      </c>
      <c r="DA32" s="124" t="s">
        <v>29</v>
      </c>
      <c r="DB32" s="277">
        <f t="shared" si="24"/>
        <v>0</v>
      </c>
      <c r="DC32" s="124" t="s">
        <v>29</v>
      </c>
      <c r="DD32" s="124" t="s">
        <v>29</v>
      </c>
      <c r="DE32" s="277">
        <f t="shared" si="25"/>
        <v>0</v>
      </c>
      <c r="DF32" s="124" t="s">
        <v>29</v>
      </c>
      <c r="DG32" s="124" t="s">
        <v>29</v>
      </c>
      <c r="DH32" s="277">
        <f t="shared" si="26"/>
        <v>0</v>
      </c>
      <c r="DI32" s="124" t="s">
        <v>29</v>
      </c>
      <c r="DJ32" s="124" t="s">
        <v>29</v>
      </c>
      <c r="DK32" s="277">
        <f t="shared" si="27"/>
        <v>0</v>
      </c>
      <c r="DL32" s="124" t="s">
        <v>29</v>
      </c>
      <c r="DM32" s="124" t="s">
        <v>29</v>
      </c>
      <c r="DN32" s="277">
        <f t="shared" si="28"/>
        <v>0</v>
      </c>
      <c r="DO32" s="124" t="s">
        <v>29</v>
      </c>
      <c r="DP32" s="124" t="s">
        <v>29</v>
      </c>
      <c r="DQ32" s="277">
        <f t="shared" si="29"/>
        <v>0</v>
      </c>
      <c r="DR32" s="124" t="s">
        <v>29</v>
      </c>
      <c r="DS32" s="124" t="s">
        <v>29</v>
      </c>
      <c r="DT32" s="277">
        <f t="shared" si="30"/>
        <v>0</v>
      </c>
      <c r="DU32" s="124" t="s">
        <v>29</v>
      </c>
      <c r="DV32" s="124" t="s">
        <v>29</v>
      </c>
      <c r="DW32" s="277">
        <f t="shared" si="31"/>
        <v>0</v>
      </c>
      <c r="DX32" s="124" t="s">
        <v>29</v>
      </c>
      <c r="DY32" s="124" t="s">
        <v>29</v>
      </c>
      <c r="DZ32" s="277">
        <f t="shared" si="32"/>
        <v>0</v>
      </c>
      <c r="EA32" s="124" t="s">
        <v>29</v>
      </c>
      <c r="EB32" s="124" t="s">
        <v>29</v>
      </c>
      <c r="EC32" s="277">
        <f t="shared" si="33"/>
        <v>0</v>
      </c>
      <c r="ED32" s="124" t="s">
        <v>29</v>
      </c>
      <c r="EE32" s="124" t="s">
        <v>29</v>
      </c>
      <c r="EF32" s="277">
        <f t="shared" si="34"/>
        <v>0</v>
      </c>
      <c r="EG32" s="124" t="s">
        <v>29</v>
      </c>
      <c r="EH32" s="124" t="s">
        <v>29</v>
      </c>
      <c r="EI32" s="277">
        <f t="shared" si="35"/>
        <v>0</v>
      </c>
      <c r="EJ32" s="124" t="s">
        <v>29</v>
      </c>
      <c r="EK32" s="124" t="s">
        <v>29</v>
      </c>
      <c r="EL32" s="277">
        <f t="shared" si="36"/>
        <v>0</v>
      </c>
      <c r="EM32" s="124" t="s">
        <v>29</v>
      </c>
      <c r="EN32" s="124" t="s">
        <v>29</v>
      </c>
      <c r="EO32" s="277">
        <f t="shared" si="37"/>
        <v>0</v>
      </c>
      <c r="EP32" s="124" t="s">
        <v>29</v>
      </c>
      <c r="EQ32" s="124" t="s">
        <v>29</v>
      </c>
    </row>
    <row r="33" spans="1:149" ht="30">
      <c r="A33" s="125" t="s">
        <v>395</v>
      </c>
      <c r="B33" s="126" t="s">
        <v>396</v>
      </c>
      <c r="C33" s="122" t="s">
        <v>349</v>
      </c>
      <c r="D33" s="124">
        <f>[7]НР_стр.1_2!D30</f>
        <v>0</v>
      </c>
      <c r="E33" s="124" t="s">
        <v>29</v>
      </c>
      <c r="F33" s="124" t="s">
        <v>29</v>
      </c>
      <c r="G33" s="124">
        <f>[7]НР_стр.1_2!E30</f>
        <v>0</v>
      </c>
      <c r="H33" s="124">
        <f>[7]НР_стр.1_2!F30</f>
        <v>0</v>
      </c>
      <c r="I33" s="124" t="s">
        <v>29</v>
      </c>
      <c r="J33" s="124" t="s">
        <v>29</v>
      </c>
      <c r="K33" s="124">
        <f>[7]НР_стр.1_2!G30</f>
        <v>0</v>
      </c>
      <c r="L33" s="124">
        <v>0</v>
      </c>
      <c r="M33" s="124" t="s">
        <v>29</v>
      </c>
      <c r="N33" s="124" t="s">
        <v>29</v>
      </c>
      <c r="O33" s="124">
        <v>0</v>
      </c>
      <c r="P33" s="124">
        <f t="shared" si="50"/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f t="shared" si="51"/>
        <v>0</v>
      </c>
      <c r="V33" s="124">
        <v>0</v>
      </c>
      <c r="W33" s="124" t="s">
        <v>29</v>
      </c>
      <c r="X33" s="124" t="s">
        <v>29</v>
      </c>
      <c r="Y33" s="124">
        <v>0</v>
      </c>
      <c r="Z33" s="124" t="s">
        <v>29</v>
      </c>
      <c r="AA33" s="124" t="s">
        <v>29</v>
      </c>
      <c r="AB33" s="124">
        <v>0</v>
      </c>
      <c r="AC33" s="124" t="s">
        <v>29</v>
      </c>
      <c r="AD33" s="124" t="s">
        <v>29</v>
      </c>
      <c r="AE33" s="124">
        <f t="shared" si="4"/>
        <v>0</v>
      </c>
      <c r="AF33" s="124" t="s">
        <v>29</v>
      </c>
      <c r="AG33" s="124" t="s">
        <v>29</v>
      </c>
      <c r="AH33" s="124">
        <f t="shared" si="5"/>
        <v>0</v>
      </c>
      <c r="AI33" s="124" t="s">
        <v>29</v>
      </c>
      <c r="AJ33" s="124" t="s">
        <v>29</v>
      </c>
      <c r="AK33" s="124">
        <f t="shared" si="6"/>
        <v>0</v>
      </c>
      <c r="AL33" s="124" t="s">
        <v>29</v>
      </c>
      <c r="AM33" s="124" t="s">
        <v>29</v>
      </c>
      <c r="AN33" s="124">
        <f t="shared" si="7"/>
        <v>0</v>
      </c>
      <c r="AO33" s="124" t="s">
        <v>29</v>
      </c>
      <c r="AP33" s="124" t="s">
        <v>29</v>
      </c>
      <c r="AQ33" s="124">
        <f t="shared" si="8"/>
        <v>0</v>
      </c>
      <c r="AR33" s="124" t="s">
        <v>29</v>
      </c>
      <c r="AS33" s="124" t="s">
        <v>29</v>
      </c>
      <c r="AT33" s="124">
        <f t="shared" si="9"/>
        <v>0</v>
      </c>
      <c r="AU33" s="124" t="s">
        <v>29</v>
      </c>
      <c r="AV33" s="124" t="s">
        <v>29</v>
      </c>
      <c r="AW33" s="124">
        <f t="shared" si="10"/>
        <v>0</v>
      </c>
      <c r="AX33" s="124" t="s">
        <v>29</v>
      </c>
      <c r="AY33" s="124" t="s">
        <v>29</v>
      </c>
      <c r="AZ33" s="124">
        <f t="shared" si="11"/>
        <v>0</v>
      </c>
      <c r="BA33" s="124" t="s">
        <v>29</v>
      </c>
      <c r="BB33" s="124" t="s">
        <v>29</v>
      </c>
      <c r="BC33" s="124">
        <f t="shared" si="12"/>
        <v>0</v>
      </c>
      <c r="BD33" s="124" t="s">
        <v>29</v>
      </c>
      <c r="BE33" s="124" t="s">
        <v>29</v>
      </c>
      <c r="BF33" s="124">
        <f t="shared" si="13"/>
        <v>0</v>
      </c>
      <c r="BG33" s="124" t="s">
        <v>29</v>
      </c>
      <c r="BH33" s="124" t="s">
        <v>29</v>
      </c>
      <c r="BI33" s="124">
        <f t="shared" si="14"/>
        <v>0</v>
      </c>
      <c r="BJ33" s="124" t="s">
        <v>29</v>
      </c>
      <c r="BK33" s="124" t="s">
        <v>29</v>
      </c>
      <c r="BL33" s="124">
        <f t="shared" si="15"/>
        <v>0</v>
      </c>
      <c r="BM33" s="124" t="s">
        <v>29</v>
      </c>
      <c r="BN33" s="124" t="s">
        <v>29</v>
      </c>
      <c r="BO33" s="124">
        <f t="shared" si="16"/>
        <v>0</v>
      </c>
      <c r="BP33" s="124" t="s">
        <v>29</v>
      </c>
      <c r="BQ33" s="124" t="s">
        <v>29</v>
      </c>
      <c r="BR33" s="124">
        <f t="shared" si="17"/>
        <v>0</v>
      </c>
      <c r="BS33" s="124" t="s">
        <v>29</v>
      </c>
      <c r="BT33" s="124" t="s">
        <v>29</v>
      </c>
      <c r="BU33" s="124">
        <f t="shared" si="18"/>
        <v>0</v>
      </c>
      <c r="BV33" s="124" t="s">
        <v>29</v>
      </c>
      <c r="BW33" s="124" t="s">
        <v>29</v>
      </c>
      <c r="BX33" s="124">
        <f>[7]НР_стр.1_2!AB30</f>
        <v>0</v>
      </c>
      <c r="BY33" s="124" t="s">
        <v>29</v>
      </c>
      <c r="BZ33" s="124" t="s">
        <v>29</v>
      </c>
      <c r="CA33" s="124">
        <f>[7]НР_стр.1_2!AC30</f>
        <v>0</v>
      </c>
      <c r="CB33" s="124">
        <f>[7]НР_стр.1_2!AD30</f>
        <v>0</v>
      </c>
      <c r="CC33" s="124" t="s">
        <v>29</v>
      </c>
      <c r="CD33" s="124" t="s">
        <v>29</v>
      </c>
      <c r="CE33" s="124">
        <f>[7]НР_стр.1_2!AE30</f>
        <v>0</v>
      </c>
      <c r="CF33" s="124">
        <v>0</v>
      </c>
      <c r="CG33" s="124" t="s">
        <v>29</v>
      </c>
      <c r="CH33" s="124" t="s">
        <v>29</v>
      </c>
      <c r="CI33" s="124">
        <v>0</v>
      </c>
      <c r="CJ33" s="124">
        <f t="shared" si="52"/>
        <v>0</v>
      </c>
      <c r="CK33" s="124">
        <v>0</v>
      </c>
      <c r="CL33" s="124" t="s">
        <v>29</v>
      </c>
      <c r="CM33" s="124" t="s">
        <v>29</v>
      </c>
      <c r="CN33" s="124">
        <v>0</v>
      </c>
      <c r="CO33" s="124">
        <f t="shared" si="53"/>
        <v>0</v>
      </c>
      <c r="CP33" s="124">
        <v>0</v>
      </c>
      <c r="CQ33" s="124" t="s">
        <v>29</v>
      </c>
      <c r="CR33" s="124" t="s">
        <v>29</v>
      </c>
      <c r="CS33" s="124">
        <v>0</v>
      </c>
      <c r="CT33" s="124" t="s">
        <v>29</v>
      </c>
      <c r="CU33" s="124" t="s">
        <v>29</v>
      </c>
      <c r="CV33" s="124">
        <v>0</v>
      </c>
      <c r="CW33" s="124" t="s">
        <v>29</v>
      </c>
      <c r="CX33" s="124" t="s">
        <v>29</v>
      </c>
      <c r="CY33" s="277">
        <f t="shared" si="23"/>
        <v>0</v>
      </c>
      <c r="CZ33" s="124" t="s">
        <v>29</v>
      </c>
      <c r="DA33" s="124" t="s">
        <v>29</v>
      </c>
      <c r="DB33" s="277">
        <f t="shared" si="24"/>
        <v>0</v>
      </c>
      <c r="DC33" s="124" t="s">
        <v>29</v>
      </c>
      <c r="DD33" s="124" t="s">
        <v>29</v>
      </c>
      <c r="DE33" s="277">
        <f t="shared" si="25"/>
        <v>0</v>
      </c>
      <c r="DF33" s="124" t="s">
        <v>29</v>
      </c>
      <c r="DG33" s="124" t="s">
        <v>29</v>
      </c>
      <c r="DH33" s="277">
        <f t="shared" si="26"/>
        <v>0</v>
      </c>
      <c r="DI33" s="124" t="s">
        <v>29</v>
      </c>
      <c r="DJ33" s="124" t="s">
        <v>29</v>
      </c>
      <c r="DK33" s="277">
        <f t="shared" si="27"/>
        <v>0</v>
      </c>
      <c r="DL33" s="124" t="s">
        <v>29</v>
      </c>
      <c r="DM33" s="124" t="s">
        <v>29</v>
      </c>
      <c r="DN33" s="277">
        <f t="shared" si="28"/>
        <v>0</v>
      </c>
      <c r="DO33" s="124" t="s">
        <v>29</v>
      </c>
      <c r="DP33" s="124" t="s">
        <v>29</v>
      </c>
      <c r="DQ33" s="277">
        <f t="shared" si="29"/>
        <v>0</v>
      </c>
      <c r="DR33" s="124" t="s">
        <v>29</v>
      </c>
      <c r="DS33" s="124" t="s">
        <v>29</v>
      </c>
      <c r="DT33" s="277">
        <f t="shared" si="30"/>
        <v>0</v>
      </c>
      <c r="DU33" s="124" t="s">
        <v>29</v>
      </c>
      <c r="DV33" s="124" t="s">
        <v>29</v>
      </c>
      <c r="DW33" s="277">
        <f t="shared" si="31"/>
        <v>0</v>
      </c>
      <c r="DX33" s="124" t="s">
        <v>29</v>
      </c>
      <c r="DY33" s="124" t="s">
        <v>29</v>
      </c>
      <c r="DZ33" s="277">
        <f t="shared" si="32"/>
        <v>0</v>
      </c>
      <c r="EA33" s="124" t="s">
        <v>29</v>
      </c>
      <c r="EB33" s="124" t="s">
        <v>29</v>
      </c>
      <c r="EC33" s="277">
        <f t="shared" si="33"/>
        <v>0</v>
      </c>
      <c r="ED33" s="124" t="s">
        <v>29</v>
      </c>
      <c r="EE33" s="124" t="s">
        <v>29</v>
      </c>
      <c r="EF33" s="277">
        <f t="shared" si="34"/>
        <v>0</v>
      </c>
      <c r="EG33" s="124" t="s">
        <v>29</v>
      </c>
      <c r="EH33" s="124" t="s">
        <v>29</v>
      </c>
      <c r="EI33" s="277">
        <f t="shared" si="35"/>
        <v>0</v>
      </c>
      <c r="EJ33" s="124" t="s">
        <v>29</v>
      </c>
      <c r="EK33" s="124" t="s">
        <v>29</v>
      </c>
      <c r="EL33" s="277">
        <f t="shared" si="36"/>
        <v>0</v>
      </c>
      <c r="EM33" s="124" t="s">
        <v>29</v>
      </c>
      <c r="EN33" s="124" t="s">
        <v>29</v>
      </c>
      <c r="EO33" s="277">
        <f t="shared" si="37"/>
        <v>0</v>
      </c>
      <c r="EP33" s="124" t="s">
        <v>29</v>
      </c>
      <c r="EQ33" s="124" t="s">
        <v>29</v>
      </c>
    </row>
    <row r="34" spans="1:149">
      <c r="A34" s="125" t="s">
        <v>397</v>
      </c>
      <c r="B34" s="126" t="s">
        <v>398</v>
      </c>
      <c r="C34" s="122" t="s">
        <v>349</v>
      </c>
      <c r="D34" s="124">
        <f>[7]НР_стр.1_2!D31</f>
        <v>26.012014171995101</v>
      </c>
      <c r="E34" s="124" t="s">
        <v>29</v>
      </c>
      <c r="F34" s="124" t="s">
        <v>29</v>
      </c>
      <c r="G34" s="124">
        <f>[7]НР_стр.1_2!E31</f>
        <v>58</v>
      </c>
      <c r="H34" s="124">
        <f>[7]НР_стр.1_2!F31</f>
        <v>51.698386496586402</v>
      </c>
      <c r="I34" s="124" t="s">
        <v>29</v>
      </c>
      <c r="J34" s="124" t="s">
        <v>29</v>
      </c>
      <c r="K34" s="124">
        <f>[7]НР_стр.1_2!G31</f>
        <v>0</v>
      </c>
      <c r="L34" s="124">
        <v>51.7</v>
      </c>
      <c r="M34" s="124" t="s">
        <v>29</v>
      </c>
      <c r="N34" s="124" t="s">
        <v>29</v>
      </c>
      <c r="O34" s="124">
        <v>23.47719</v>
      </c>
      <c r="P34" s="124">
        <f t="shared" si="50"/>
        <v>-28.222810000000003</v>
      </c>
      <c r="Q34" s="124">
        <v>51.7</v>
      </c>
      <c r="R34" s="124">
        <v>51.7</v>
      </c>
      <c r="S34" s="124">
        <v>51.7</v>
      </c>
      <c r="T34" s="124">
        <v>49.332479999999997</v>
      </c>
      <c r="U34" s="124">
        <f t="shared" si="51"/>
        <v>-2.3675200000000061</v>
      </c>
      <c r="V34" s="124">
        <v>51.7</v>
      </c>
      <c r="W34" s="124" t="s">
        <v>29</v>
      </c>
      <c r="X34" s="124" t="s">
        <v>29</v>
      </c>
      <c r="Y34" s="124">
        <v>51.7</v>
      </c>
      <c r="Z34" s="124" t="s">
        <v>29</v>
      </c>
      <c r="AA34" s="124" t="s">
        <v>29</v>
      </c>
      <c r="AB34" s="124">
        <v>51.7</v>
      </c>
      <c r="AC34" s="124" t="s">
        <v>29</v>
      </c>
      <c r="AD34" s="124" t="s">
        <v>29</v>
      </c>
      <c r="AE34" s="124">
        <f t="shared" si="4"/>
        <v>51.7</v>
      </c>
      <c r="AF34" s="124" t="s">
        <v>29</v>
      </c>
      <c r="AG34" s="124" t="s">
        <v>29</v>
      </c>
      <c r="AH34" s="124">
        <f t="shared" si="5"/>
        <v>51.7</v>
      </c>
      <c r="AI34" s="124" t="s">
        <v>29</v>
      </c>
      <c r="AJ34" s="124" t="s">
        <v>29</v>
      </c>
      <c r="AK34" s="124">
        <f t="shared" si="6"/>
        <v>51.7</v>
      </c>
      <c r="AL34" s="124" t="s">
        <v>29</v>
      </c>
      <c r="AM34" s="124" t="s">
        <v>29</v>
      </c>
      <c r="AN34" s="124">
        <f t="shared" si="7"/>
        <v>51.7</v>
      </c>
      <c r="AO34" s="124" t="s">
        <v>29</v>
      </c>
      <c r="AP34" s="124" t="s">
        <v>29</v>
      </c>
      <c r="AQ34" s="124">
        <f t="shared" si="8"/>
        <v>51.7</v>
      </c>
      <c r="AR34" s="124" t="s">
        <v>29</v>
      </c>
      <c r="AS34" s="124" t="s">
        <v>29</v>
      </c>
      <c r="AT34" s="124">
        <f t="shared" si="9"/>
        <v>51.7</v>
      </c>
      <c r="AU34" s="124" t="s">
        <v>29</v>
      </c>
      <c r="AV34" s="124" t="s">
        <v>29</v>
      </c>
      <c r="AW34" s="124">
        <f t="shared" si="10"/>
        <v>51.7</v>
      </c>
      <c r="AX34" s="124" t="s">
        <v>29</v>
      </c>
      <c r="AY34" s="124" t="s">
        <v>29</v>
      </c>
      <c r="AZ34" s="124">
        <f t="shared" si="11"/>
        <v>51.7</v>
      </c>
      <c r="BA34" s="124" t="s">
        <v>29</v>
      </c>
      <c r="BB34" s="124" t="s">
        <v>29</v>
      </c>
      <c r="BC34" s="124">
        <f t="shared" si="12"/>
        <v>51.7</v>
      </c>
      <c r="BD34" s="124" t="s">
        <v>29</v>
      </c>
      <c r="BE34" s="124" t="s">
        <v>29</v>
      </c>
      <c r="BF34" s="124">
        <f t="shared" si="13"/>
        <v>51.7</v>
      </c>
      <c r="BG34" s="124" t="s">
        <v>29</v>
      </c>
      <c r="BH34" s="124" t="s">
        <v>29</v>
      </c>
      <c r="BI34" s="124">
        <f t="shared" si="14"/>
        <v>51.7</v>
      </c>
      <c r="BJ34" s="124" t="s">
        <v>29</v>
      </c>
      <c r="BK34" s="124" t="s">
        <v>29</v>
      </c>
      <c r="BL34" s="124">
        <f t="shared" si="15"/>
        <v>51.7</v>
      </c>
      <c r="BM34" s="124" t="s">
        <v>29</v>
      </c>
      <c r="BN34" s="124" t="s">
        <v>29</v>
      </c>
      <c r="BO34" s="124">
        <f t="shared" si="16"/>
        <v>51.7</v>
      </c>
      <c r="BP34" s="124" t="s">
        <v>29</v>
      </c>
      <c r="BQ34" s="124" t="s">
        <v>29</v>
      </c>
      <c r="BR34" s="124">
        <f t="shared" si="17"/>
        <v>51.7</v>
      </c>
      <c r="BS34" s="124" t="s">
        <v>29</v>
      </c>
      <c r="BT34" s="124" t="s">
        <v>29</v>
      </c>
      <c r="BU34" s="124">
        <f t="shared" si="18"/>
        <v>51.7</v>
      </c>
      <c r="BV34" s="124" t="s">
        <v>29</v>
      </c>
      <c r="BW34" s="124" t="s">
        <v>29</v>
      </c>
      <c r="BX34" s="124">
        <f>[7]НР_стр.1_2!AB31</f>
        <v>43.948538868674703</v>
      </c>
      <c r="BY34" s="124" t="s">
        <v>29</v>
      </c>
      <c r="BZ34" s="124" t="s">
        <v>29</v>
      </c>
      <c r="CA34" s="124">
        <f>[7]НР_стр.1_2!AC31</f>
        <v>28</v>
      </c>
      <c r="CB34" s="124">
        <f>[7]НР_стр.1_2!AD31</f>
        <v>35.990698503413597</v>
      </c>
      <c r="CC34" s="124" t="s">
        <v>29</v>
      </c>
      <c r="CD34" s="124" t="s">
        <v>29</v>
      </c>
      <c r="CE34" s="124">
        <f>[7]НР_стр.1_2!AE31</f>
        <v>0</v>
      </c>
      <c r="CF34" s="124">
        <v>35.990698503413597</v>
      </c>
      <c r="CG34" s="124" t="s">
        <v>29</v>
      </c>
      <c r="CH34" s="124" t="s">
        <v>29</v>
      </c>
      <c r="CI34" s="124">
        <v>10.69027</v>
      </c>
      <c r="CJ34" s="124">
        <f t="shared" si="52"/>
        <v>-25.300428503413599</v>
      </c>
      <c r="CK34" s="124">
        <v>35.990698503413597</v>
      </c>
      <c r="CL34" s="124" t="s">
        <v>29</v>
      </c>
      <c r="CM34" s="124" t="s">
        <v>29</v>
      </c>
      <c r="CN34" s="124">
        <v>29.954609999999999</v>
      </c>
      <c r="CO34" s="124">
        <f t="shared" si="53"/>
        <v>-6.0360885034135983</v>
      </c>
      <c r="CP34" s="124">
        <v>35.990698503413597</v>
      </c>
      <c r="CQ34" s="124" t="s">
        <v>29</v>
      </c>
      <c r="CR34" s="124" t="s">
        <v>29</v>
      </c>
      <c r="CS34" s="124">
        <v>35.990698503413597</v>
      </c>
      <c r="CT34" s="124" t="s">
        <v>29</v>
      </c>
      <c r="CU34" s="124" t="s">
        <v>29</v>
      </c>
      <c r="CV34" s="124">
        <v>35.990698503413597</v>
      </c>
      <c r="CW34" s="124" t="s">
        <v>29</v>
      </c>
      <c r="CX34" s="124" t="s">
        <v>29</v>
      </c>
      <c r="CY34" s="277">
        <f t="shared" si="23"/>
        <v>35.990698503413597</v>
      </c>
      <c r="CZ34" s="124" t="s">
        <v>29</v>
      </c>
      <c r="DA34" s="124" t="s">
        <v>29</v>
      </c>
      <c r="DB34" s="277">
        <f t="shared" si="24"/>
        <v>35.990698503413597</v>
      </c>
      <c r="DC34" s="124" t="s">
        <v>29</v>
      </c>
      <c r="DD34" s="124" t="s">
        <v>29</v>
      </c>
      <c r="DE34" s="277">
        <f t="shared" si="25"/>
        <v>35.990698503413597</v>
      </c>
      <c r="DF34" s="124" t="s">
        <v>29</v>
      </c>
      <c r="DG34" s="124" t="s">
        <v>29</v>
      </c>
      <c r="DH34" s="277">
        <f t="shared" si="26"/>
        <v>35.990698503413597</v>
      </c>
      <c r="DI34" s="124" t="s">
        <v>29</v>
      </c>
      <c r="DJ34" s="124" t="s">
        <v>29</v>
      </c>
      <c r="DK34" s="277">
        <f t="shared" si="27"/>
        <v>35.990698503413597</v>
      </c>
      <c r="DL34" s="124" t="s">
        <v>29</v>
      </c>
      <c r="DM34" s="124" t="s">
        <v>29</v>
      </c>
      <c r="DN34" s="277">
        <f t="shared" si="28"/>
        <v>35.990698503413597</v>
      </c>
      <c r="DO34" s="124" t="s">
        <v>29</v>
      </c>
      <c r="DP34" s="124" t="s">
        <v>29</v>
      </c>
      <c r="DQ34" s="277">
        <f t="shared" si="29"/>
        <v>35.990698503413597</v>
      </c>
      <c r="DR34" s="124" t="s">
        <v>29</v>
      </c>
      <c r="DS34" s="124" t="s">
        <v>29</v>
      </c>
      <c r="DT34" s="277">
        <f t="shared" si="30"/>
        <v>35.990698503413597</v>
      </c>
      <c r="DU34" s="124" t="s">
        <v>29</v>
      </c>
      <c r="DV34" s="124" t="s">
        <v>29</v>
      </c>
      <c r="DW34" s="277">
        <f t="shared" si="31"/>
        <v>35.990698503413597</v>
      </c>
      <c r="DX34" s="124" t="s">
        <v>29</v>
      </c>
      <c r="DY34" s="124" t="s">
        <v>29</v>
      </c>
      <c r="DZ34" s="277">
        <f t="shared" si="32"/>
        <v>35.990698503413597</v>
      </c>
      <c r="EA34" s="124" t="s">
        <v>29</v>
      </c>
      <c r="EB34" s="124" t="s">
        <v>29</v>
      </c>
      <c r="EC34" s="277">
        <f t="shared" si="33"/>
        <v>35.990698503413597</v>
      </c>
      <c r="ED34" s="124" t="s">
        <v>29</v>
      </c>
      <c r="EE34" s="124" t="s">
        <v>29</v>
      </c>
      <c r="EF34" s="277">
        <f t="shared" si="34"/>
        <v>35.990698503413597</v>
      </c>
      <c r="EG34" s="124" t="s">
        <v>29</v>
      </c>
      <c r="EH34" s="124" t="s">
        <v>29</v>
      </c>
      <c r="EI34" s="277">
        <f t="shared" si="35"/>
        <v>35.990698503413597</v>
      </c>
      <c r="EJ34" s="124" t="s">
        <v>29</v>
      </c>
      <c r="EK34" s="124" t="s">
        <v>29</v>
      </c>
      <c r="EL34" s="277">
        <f t="shared" si="36"/>
        <v>35.990698503413597</v>
      </c>
      <c r="EM34" s="124" t="s">
        <v>29</v>
      </c>
      <c r="EN34" s="124" t="s">
        <v>29</v>
      </c>
      <c r="EO34" s="277">
        <f t="shared" si="37"/>
        <v>35.990698503413597</v>
      </c>
      <c r="EP34" s="124" t="s">
        <v>29</v>
      </c>
      <c r="EQ34" s="124" t="s">
        <v>29</v>
      </c>
    </row>
    <row r="35" spans="1:149" ht="30">
      <c r="A35" s="125" t="s">
        <v>399</v>
      </c>
      <c r="B35" s="126" t="s">
        <v>400</v>
      </c>
      <c r="C35" s="122" t="s">
        <v>349</v>
      </c>
      <c r="D35" s="124">
        <f>[7]НР_стр.1_2!D32</f>
        <v>49.948917020966398</v>
      </c>
      <c r="E35" s="124" t="s">
        <v>29</v>
      </c>
      <c r="F35" s="124" t="s">
        <v>29</v>
      </c>
      <c r="G35" s="124">
        <f>[7]НР_стр.1_2!E32</f>
        <v>17</v>
      </c>
      <c r="H35" s="124">
        <f>[7]НР_стр.1_2!F32</f>
        <v>43.739808308665303</v>
      </c>
      <c r="I35" s="124" t="s">
        <v>29</v>
      </c>
      <c r="J35" s="124" t="s">
        <v>29</v>
      </c>
      <c r="K35" s="124">
        <f>[7]НР_стр.1_2!G32</f>
        <v>0</v>
      </c>
      <c r="L35" s="124">
        <v>17.437570000000001</v>
      </c>
      <c r="M35" s="124" t="s">
        <v>29</v>
      </c>
      <c r="N35" s="124" t="s">
        <v>29</v>
      </c>
      <c r="O35" s="124">
        <v>18.2224</v>
      </c>
      <c r="P35" s="124">
        <f t="shared" si="50"/>
        <v>0.78482999999999947</v>
      </c>
      <c r="Q35" s="124">
        <v>17.437570000000001</v>
      </c>
      <c r="R35" s="124">
        <v>17.437570000000001</v>
      </c>
      <c r="S35" s="124">
        <v>17.437570000000001</v>
      </c>
      <c r="T35" s="124">
        <v>29.875209999999999</v>
      </c>
      <c r="U35" s="124">
        <f t="shared" si="51"/>
        <v>12.437639999999998</v>
      </c>
      <c r="V35" s="124">
        <v>17.437570000000001</v>
      </c>
      <c r="W35" s="124" t="s">
        <v>29</v>
      </c>
      <c r="X35" s="124" t="s">
        <v>29</v>
      </c>
      <c r="Y35" s="124">
        <v>17.437570000000001</v>
      </c>
      <c r="Z35" s="124" t="s">
        <v>29</v>
      </c>
      <c r="AA35" s="124" t="s">
        <v>29</v>
      </c>
      <c r="AB35" s="124">
        <v>17.437570000000001</v>
      </c>
      <c r="AC35" s="124" t="s">
        <v>29</v>
      </c>
      <c r="AD35" s="124" t="s">
        <v>29</v>
      </c>
      <c r="AE35" s="124">
        <f t="shared" si="4"/>
        <v>17.437570000000001</v>
      </c>
      <c r="AF35" s="124" t="s">
        <v>29</v>
      </c>
      <c r="AG35" s="124" t="s">
        <v>29</v>
      </c>
      <c r="AH35" s="124">
        <f t="shared" si="5"/>
        <v>17.437570000000001</v>
      </c>
      <c r="AI35" s="124" t="s">
        <v>29</v>
      </c>
      <c r="AJ35" s="124" t="s">
        <v>29</v>
      </c>
      <c r="AK35" s="124">
        <f t="shared" si="6"/>
        <v>17.437570000000001</v>
      </c>
      <c r="AL35" s="124" t="s">
        <v>29</v>
      </c>
      <c r="AM35" s="124" t="s">
        <v>29</v>
      </c>
      <c r="AN35" s="124">
        <f t="shared" si="7"/>
        <v>17.437570000000001</v>
      </c>
      <c r="AO35" s="124" t="s">
        <v>29</v>
      </c>
      <c r="AP35" s="124" t="s">
        <v>29</v>
      </c>
      <c r="AQ35" s="124">
        <f t="shared" si="8"/>
        <v>17.437570000000001</v>
      </c>
      <c r="AR35" s="124" t="s">
        <v>29</v>
      </c>
      <c r="AS35" s="124" t="s">
        <v>29</v>
      </c>
      <c r="AT35" s="124">
        <f t="shared" si="9"/>
        <v>17.437570000000001</v>
      </c>
      <c r="AU35" s="124" t="s">
        <v>29</v>
      </c>
      <c r="AV35" s="124" t="s">
        <v>29</v>
      </c>
      <c r="AW35" s="124">
        <f t="shared" si="10"/>
        <v>17.437570000000001</v>
      </c>
      <c r="AX35" s="124" t="s">
        <v>29</v>
      </c>
      <c r="AY35" s="124" t="s">
        <v>29</v>
      </c>
      <c r="AZ35" s="124">
        <f t="shared" si="11"/>
        <v>17.437570000000001</v>
      </c>
      <c r="BA35" s="124" t="s">
        <v>29</v>
      </c>
      <c r="BB35" s="124" t="s">
        <v>29</v>
      </c>
      <c r="BC35" s="124">
        <f t="shared" si="12"/>
        <v>17.437570000000001</v>
      </c>
      <c r="BD35" s="124" t="s">
        <v>29</v>
      </c>
      <c r="BE35" s="124" t="s">
        <v>29</v>
      </c>
      <c r="BF35" s="124">
        <f t="shared" si="13"/>
        <v>17.437570000000001</v>
      </c>
      <c r="BG35" s="124" t="s">
        <v>29</v>
      </c>
      <c r="BH35" s="124" t="s">
        <v>29</v>
      </c>
      <c r="BI35" s="124">
        <f t="shared" si="14"/>
        <v>17.437570000000001</v>
      </c>
      <c r="BJ35" s="124" t="s">
        <v>29</v>
      </c>
      <c r="BK35" s="124" t="s">
        <v>29</v>
      </c>
      <c r="BL35" s="124">
        <f t="shared" si="15"/>
        <v>17.437570000000001</v>
      </c>
      <c r="BM35" s="124" t="s">
        <v>29</v>
      </c>
      <c r="BN35" s="124" t="s">
        <v>29</v>
      </c>
      <c r="BO35" s="124">
        <f t="shared" si="16"/>
        <v>17.437570000000001</v>
      </c>
      <c r="BP35" s="124" t="s">
        <v>29</v>
      </c>
      <c r="BQ35" s="124" t="s">
        <v>29</v>
      </c>
      <c r="BR35" s="124">
        <f t="shared" si="17"/>
        <v>17.437570000000001</v>
      </c>
      <c r="BS35" s="124" t="s">
        <v>29</v>
      </c>
      <c r="BT35" s="124" t="s">
        <v>29</v>
      </c>
      <c r="BU35" s="124">
        <f t="shared" si="18"/>
        <v>17.437570000000001</v>
      </c>
      <c r="BV35" s="124" t="s">
        <v>29</v>
      </c>
      <c r="BW35" s="124" t="s">
        <v>29</v>
      </c>
      <c r="BX35" s="124">
        <f>[7]НР_стр.1_2!AB32</f>
        <v>689.30326850863901</v>
      </c>
      <c r="BY35" s="124" t="s">
        <v>29</v>
      </c>
      <c r="BZ35" s="124" t="s">
        <v>29</v>
      </c>
      <c r="CA35" s="124">
        <f>[7]НР_стр.1_2!AC32</f>
        <v>291</v>
      </c>
      <c r="CB35" s="124">
        <f>[7]НР_стр.1_2!AD32</f>
        <v>5529.03</v>
      </c>
      <c r="CC35" s="124" t="s">
        <v>29</v>
      </c>
      <c r="CD35" s="124" t="s">
        <v>29</v>
      </c>
      <c r="CE35" s="124">
        <f>[7]НР_стр.1_2!AE32</f>
        <v>0</v>
      </c>
      <c r="CF35" s="124">
        <v>290.59710999999999</v>
      </c>
      <c r="CG35" s="124" t="s">
        <v>29</v>
      </c>
      <c r="CH35" s="124" t="s">
        <v>29</v>
      </c>
      <c r="CI35" s="124">
        <v>321.46503000000001</v>
      </c>
      <c r="CJ35" s="124">
        <f t="shared" si="52"/>
        <v>30.867920000000026</v>
      </c>
      <c r="CK35" s="124">
        <v>304.25517416999998</v>
      </c>
      <c r="CL35" s="124" t="s">
        <v>29</v>
      </c>
      <c r="CM35" s="124" t="s">
        <v>29</v>
      </c>
      <c r="CN35" s="124">
        <v>425.06337000000002</v>
      </c>
      <c r="CO35" s="124">
        <f t="shared" si="53"/>
        <v>120.80819583000005</v>
      </c>
      <c r="CP35" s="124">
        <v>318.55516735599002</v>
      </c>
      <c r="CQ35" s="124" t="s">
        <v>29</v>
      </c>
      <c r="CR35" s="124" t="s">
        <v>29</v>
      </c>
      <c r="CS35" s="124">
        <v>333.52726022172101</v>
      </c>
      <c r="CT35" s="124" t="s">
        <v>29</v>
      </c>
      <c r="CU35" s="124" t="s">
        <v>29</v>
      </c>
      <c r="CV35" s="124">
        <v>349.20304145214197</v>
      </c>
      <c r="CW35" s="124" t="s">
        <v>29</v>
      </c>
      <c r="CX35" s="124" t="s">
        <v>29</v>
      </c>
      <c r="CY35" s="277">
        <f t="shared" si="23"/>
        <v>349.20304145214197</v>
      </c>
      <c r="CZ35" s="124" t="s">
        <v>29</v>
      </c>
      <c r="DA35" s="124" t="s">
        <v>29</v>
      </c>
      <c r="DB35" s="277">
        <f t="shared" si="24"/>
        <v>349.20304145214197</v>
      </c>
      <c r="DC35" s="124" t="s">
        <v>29</v>
      </c>
      <c r="DD35" s="124" t="s">
        <v>29</v>
      </c>
      <c r="DE35" s="277">
        <f t="shared" si="25"/>
        <v>349.20304145214197</v>
      </c>
      <c r="DF35" s="124" t="s">
        <v>29</v>
      </c>
      <c r="DG35" s="124" t="s">
        <v>29</v>
      </c>
      <c r="DH35" s="277">
        <f t="shared" si="26"/>
        <v>349.20304145214197</v>
      </c>
      <c r="DI35" s="124" t="s">
        <v>29</v>
      </c>
      <c r="DJ35" s="124" t="s">
        <v>29</v>
      </c>
      <c r="DK35" s="277">
        <f t="shared" si="27"/>
        <v>349.20304145214197</v>
      </c>
      <c r="DL35" s="124" t="s">
        <v>29</v>
      </c>
      <c r="DM35" s="124" t="s">
        <v>29</v>
      </c>
      <c r="DN35" s="277">
        <f t="shared" si="28"/>
        <v>349.20304145214197</v>
      </c>
      <c r="DO35" s="124" t="s">
        <v>29</v>
      </c>
      <c r="DP35" s="124" t="s">
        <v>29</v>
      </c>
      <c r="DQ35" s="277">
        <f t="shared" si="29"/>
        <v>349.20304145214197</v>
      </c>
      <c r="DR35" s="124" t="s">
        <v>29</v>
      </c>
      <c r="DS35" s="124" t="s">
        <v>29</v>
      </c>
      <c r="DT35" s="277">
        <f t="shared" si="30"/>
        <v>349.20304145214197</v>
      </c>
      <c r="DU35" s="124" t="s">
        <v>29</v>
      </c>
      <c r="DV35" s="124" t="s">
        <v>29</v>
      </c>
      <c r="DW35" s="277">
        <f t="shared" si="31"/>
        <v>349.20304145214197</v>
      </c>
      <c r="DX35" s="124" t="s">
        <v>29</v>
      </c>
      <c r="DY35" s="124" t="s">
        <v>29</v>
      </c>
      <c r="DZ35" s="277">
        <f t="shared" si="32"/>
        <v>349.20304145214197</v>
      </c>
      <c r="EA35" s="124" t="s">
        <v>29</v>
      </c>
      <c r="EB35" s="124" t="s">
        <v>29</v>
      </c>
      <c r="EC35" s="277">
        <f t="shared" si="33"/>
        <v>349.20304145214197</v>
      </c>
      <c r="ED35" s="124" t="s">
        <v>29</v>
      </c>
      <c r="EE35" s="124" t="s">
        <v>29</v>
      </c>
      <c r="EF35" s="277">
        <f t="shared" si="34"/>
        <v>349.20304145214197</v>
      </c>
      <c r="EG35" s="124" t="s">
        <v>29</v>
      </c>
      <c r="EH35" s="124" t="s">
        <v>29</v>
      </c>
      <c r="EI35" s="277">
        <f t="shared" si="35"/>
        <v>349.20304145214197</v>
      </c>
      <c r="EJ35" s="124" t="s">
        <v>29</v>
      </c>
      <c r="EK35" s="124" t="s">
        <v>29</v>
      </c>
      <c r="EL35" s="277">
        <f t="shared" si="36"/>
        <v>349.20304145214197</v>
      </c>
      <c r="EM35" s="124" t="s">
        <v>29</v>
      </c>
      <c r="EN35" s="124" t="s">
        <v>29</v>
      </c>
      <c r="EO35" s="277">
        <f t="shared" si="37"/>
        <v>349.20304145214197</v>
      </c>
      <c r="EP35" s="124" t="s">
        <v>29</v>
      </c>
      <c r="EQ35" s="124" t="s">
        <v>29</v>
      </c>
    </row>
    <row r="36" spans="1:149">
      <c r="A36" s="125" t="s">
        <v>401</v>
      </c>
      <c r="B36" s="126" t="s">
        <v>402</v>
      </c>
      <c r="C36" s="122" t="s">
        <v>349</v>
      </c>
      <c r="D36" s="124">
        <f>[7]НР_стр.1_2!D33</f>
        <v>0</v>
      </c>
      <c r="E36" s="124" t="s">
        <v>29</v>
      </c>
      <c r="F36" s="124" t="s">
        <v>29</v>
      </c>
      <c r="G36" s="124">
        <f>[7]НР_стр.1_2!E33</f>
        <v>0</v>
      </c>
      <c r="H36" s="124">
        <f>[7]НР_стр.1_2!F33</f>
        <v>0</v>
      </c>
      <c r="I36" s="124" t="s">
        <v>29</v>
      </c>
      <c r="J36" s="124" t="s">
        <v>29</v>
      </c>
      <c r="K36" s="124">
        <f>[7]НР_стр.1_2!G33</f>
        <v>0</v>
      </c>
      <c r="L36" s="124">
        <v>0</v>
      </c>
      <c r="M36" s="124" t="s">
        <v>29</v>
      </c>
      <c r="N36" s="124" t="s">
        <v>29</v>
      </c>
      <c r="O36" s="124">
        <v>0</v>
      </c>
      <c r="P36" s="124">
        <f t="shared" si="50"/>
        <v>0</v>
      </c>
      <c r="Q36" s="124">
        <v>0</v>
      </c>
      <c r="R36" s="124">
        <v>0</v>
      </c>
      <c r="S36" s="124">
        <v>0</v>
      </c>
      <c r="T36" s="124">
        <v>0</v>
      </c>
      <c r="U36" s="124">
        <f t="shared" si="51"/>
        <v>0</v>
      </c>
      <c r="V36" s="124">
        <v>0</v>
      </c>
      <c r="W36" s="124" t="s">
        <v>29</v>
      </c>
      <c r="X36" s="124" t="s">
        <v>29</v>
      </c>
      <c r="Y36" s="124">
        <v>0</v>
      </c>
      <c r="Z36" s="124" t="s">
        <v>29</v>
      </c>
      <c r="AA36" s="124" t="s">
        <v>29</v>
      </c>
      <c r="AB36" s="124">
        <v>0</v>
      </c>
      <c r="AC36" s="124" t="s">
        <v>29</v>
      </c>
      <c r="AD36" s="124" t="s">
        <v>29</v>
      </c>
      <c r="AE36" s="124">
        <f t="shared" si="4"/>
        <v>0</v>
      </c>
      <c r="AF36" s="124" t="s">
        <v>29</v>
      </c>
      <c r="AG36" s="124" t="s">
        <v>29</v>
      </c>
      <c r="AH36" s="124">
        <f t="shared" si="5"/>
        <v>0</v>
      </c>
      <c r="AI36" s="124" t="s">
        <v>29</v>
      </c>
      <c r="AJ36" s="124" t="s">
        <v>29</v>
      </c>
      <c r="AK36" s="124">
        <f t="shared" si="6"/>
        <v>0</v>
      </c>
      <c r="AL36" s="124" t="s">
        <v>29</v>
      </c>
      <c r="AM36" s="124" t="s">
        <v>29</v>
      </c>
      <c r="AN36" s="124">
        <f t="shared" si="7"/>
        <v>0</v>
      </c>
      <c r="AO36" s="124" t="s">
        <v>29</v>
      </c>
      <c r="AP36" s="124" t="s">
        <v>29</v>
      </c>
      <c r="AQ36" s="124">
        <f t="shared" si="8"/>
        <v>0</v>
      </c>
      <c r="AR36" s="124" t="s">
        <v>29</v>
      </c>
      <c r="AS36" s="124" t="s">
        <v>29</v>
      </c>
      <c r="AT36" s="124">
        <f t="shared" si="9"/>
        <v>0</v>
      </c>
      <c r="AU36" s="124" t="s">
        <v>29</v>
      </c>
      <c r="AV36" s="124" t="s">
        <v>29</v>
      </c>
      <c r="AW36" s="124">
        <f t="shared" si="10"/>
        <v>0</v>
      </c>
      <c r="AX36" s="124" t="s">
        <v>29</v>
      </c>
      <c r="AY36" s="124" t="s">
        <v>29</v>
      </c>
      <c r="AZ36" s="124">
        <f t="shared" si="11"/>
        <v>0</v>
      </c>
      <c r="BA36" s="124" t="s">
        <v>29</v>
      </c>
      <c r="BB36" s="124" t="s">
        <v>29</v>
      </c>
      <c r="BC36" s="124">
        <f t="shared" si="12"/>
        <v>0</v>
      </c>
      <c r="BD36" s="124" t="s">
        <v>29</v>
      </c>
      <c r="BE36" s="124" t="s">
        <v>29</v>
      </c>
      <c r="BF36" s="124">
        <f t="shared" si="13"/>
        <v>0</v>
      </c>
      <c r="BG36" s="124" t="s">
        <v>29</v>
      </c>
      <c r="BH36" s="124" t="s">
        <v>29</v>
      </c>
      <c r="BI36" s="124">
        <f t="shared" si="14"/>
        <v>0</v>
      </c>
      <c r="BJ36" s="124" t="s">
        <v>29</v>
      </c>
      <c r="BK36" s="124" t="s">
        <v>29</v>
      </c>
      <c r="BL36" s="124">
        <f t="shared" si="15"/>
        <v>0</v>
      </c>
      <c r="BM36" s="124" t="s">
        <v>29</v>
      </c>
      <c r="BN36" s="124" t="s">
        <v>29</v>
      </c>
      <c r="BO36" s="124">
        <f t="shared" si="16"/>
        <v>0</v>
      </c>
      <c r="BP36" s="124" t="s">
        <v>29</v>
      </c>
      <c r="BQ36" s="124" t="s">
        <v>29</v>
      </c>
      <c r="BR36" s="124">
        <f t="shared" si="17"/>
        <v>0</v>
      </c>
      <c r="BS36" s="124" t="s">
        <v>29</v>
      </c>
      <c r="BT36" s="124" t="s">
        <v>29</v>
      </c>
      <c r="BU36" s="124">
        <f t="shared" si="18"/>
        <v>0</v>
      </c>
      <c r="BV36" s="124" t="s">
        <v>29</v>
      </c>
      <c r="BW36" s="124" t="s">
        <v>29</v>
      </c>
      <c r="BX36" s="124">
        <f>[7]НР_стр.1_2!AB33</f>
        <v>0</v>
      </c>
      <c r="BY36" s="124" t="s">
        <v>29</v>
      </c>
      <c r="BZ36" s="124" t="s">
        <v>29</v>
      </c>
      <c r="CA36" s="124">
        <f>[7]НР_стр.1_2!AC33</f>
        <v>0</v>
      </c>
      <c r="CB36" s="124">
        <f>[7]НР_стр.1_2!AD33</f>
        <v>0</v>
      </c>
      <c r="CC36" s="124" t="s">
        <v>29</v>
      </c>
      <c r="CD36" s="124" t="s">
        <v>29</v>
      </c>
      <c r="CE36" s="124">
        <f>[7]НР_стр.1_2!AE33</f>
        <v>0</v>
      </c>
      <c r="CF36" s="124">
        <v>0</v>
      </c>
      <c r="CG36" s="124" t="s">
        <v>29</v>
      </c>
      <c r="CH36" s="124" t="s">
        <v>29</v>
      </c>
      <c r="CI36" s="124">
        <v>0</v>
      </c>
      <c r="CJ36" s="124">
        <f t="shared" si="52"/>
        <v>0</v>
      </c>
      <c r="CK36" s="124">
        <v>0</v>
      </c>
      <c r="CL36" s="124" t="s">
        <v>29</v>
      </c>
      <c r="CM36" s="124" t="s">
        <v>29</v>
      </c>
      <c r="CN36" s="124">
        <v>0</v>
      </c>
      <c r="CO36" s="124">
        <f t="shared" si="53"/>
        <v>0</v>
      </c>
      <c r="CP36" s="124">
        <v>0</v>
      </c>
      <c r="CQ36" s="124" t="s">
        <v>29</v>
      </c>
      <c r="CR36" s="124" t="s">
        <v>29</v>
      </c>
      <c r="CS36" s="124">
        <v>0</v>
      </c>
      <c r="CT36" s="124" t="s">
        <v>29</v>
      </c>
      <c r="CU36" s="124" t="s">
        <v>29</v>
      </c>
      <c r="CV36" s="124">
        <v>0</v>
      </c>
      <c r="CW36" s="124" t="s">
        <v>29</v>
      </c>
      <c r="CX36" s="124" t="s">
        <v>29</v>
      </c>
      <c r="CY36" s="277">
        <f t="shared" si="23"/>
        <v>0</v>
      </c>
      <c r="CZ36" s="124" t="s">
        <v>29</v>
      </c>
      <c r="DA36" s="124" t="s">
        <v>29</v>
      </c>
      <c r="DB36" s="277">
        <f t="shared" si="24"/>
        <v>0</v>
      </c>
      <c r="DC36" s="124" t="s">
        <v>29</v>
      </c>
      <c r="DD36" s="124" t="s">
        <v>29</v>
      </c>
      <c r="DE36" s="277">
        <f t="shared" si="25"/>
        <v>0</v>
      </c>
      <c r="DF36" s="124" t="s">
        <v>29</v>
      </c>
      <c r="DG36" s="124" t="s">
        <v>29</v>
      </c>
      <c r="DH36" s="277">
        <f t="shared" si="26"/>
        <v>0</v>
      </c>
      <c r="DI36" s="124" t="s">
        <v>29</v>
      </c>
      <c r="DJ36" s="124" t="s">
        <v>29</v>
      </c>
      <c r="DK36" s="277">
        <f t="shared" si="27"/>
        <v>0</v>
      </c>
      <c r="DL36" s="124" t="s">
        <v>29</v>
      </c>
      <c r="DM36" s="124" t="s">
        <v>29</v>
      </c>
      <c r="DN36" s="277">
        <f t="shared" si="28"/>
        <v>0</v>
      </c>
      <c r="DO36" s="124" t="s">
        <v>29</v>
      </c>
      <c r="DP36" s="124" t="s">
        <v>29</v>
      </c>
      <c r="DQ36" s="277">
        <f t="shared" si="29"/>
        <v>0</v>
      </c>
      <c r="DR36" s="124" t="s">
        <v>29</v>
      </c>
      <c r="DS36" s="124" t="s">
        <v>29</v>
      </c>
      <c r="DT36" s="277">
        <f t="shared" si="30"/>
        <v>0</v>
      </c>
      <c r="DU36" s="124" t="s">
        <v>29</v>
      </c>
      <c r="DV36" s="124" t="s">
        <v>29</v>
      </c>
      <c r="DW36" s="277">
        <f t="shared" si="31"/>
        <v>0</v>
      </c>
      <c r="DX36" s="124" t="s">
        <v>29</v>
      </c>
      <c r="DY36" s="124" t="s">
        <v>29</v>
      </c>
      <c r="DZ36" s="277">
        <f t="shared" si="32"/>
        <v>0</v>
      </c>
      <c r="EA36" s="124" t="s">
        <v>29</v>
      </c>
      <c r="EB36" s="124" t="s">
        <v>29</v>
      </c>
      <c r="EC36" s="277">
        <f t="shared" si="33"/>
        <v>0</v>
      </c>
      <c r="ED36" s="124" t="s">
        <v>29</v>
      </c>
      <c r="EE36" s="124" t="s">
        <v>29</v>
      </c>
      <c r="EF36" s="277">
        <f t="shared" si="34"/>
        <v>0</v>
      </c>
      <c r="EG36" s="124" t="s">
        <v>29</v>
      </c>
      <c r="EH36" s="124" t="s">
        <v>29</v>
      </c>
      <c r="EI36" s="277">
        <f t="shared" si="35"/>
        <v>0</v>
      </c>
      <c r="EJ36" s="124" t="s">
        <v>29</v>
      </c>
      <c r="EK36" s="124" t="s">
        <v>29</v>
      </c>
      <c r="EL36" s="277">
        <f t="shared" si="36"/>
        <v>0</v>
      </c>
      <c r="EM36" s="124" t="s">
        <v>29</v>
      </c>
      <c r="EN36" s="124" t="s">
        <v>29</v>
      </c>
      <c r="EO36" s="277">
        <f t="shared" si="37"/>
        <v>0</v>
      </c>
      <c r="EP36" s="124" t="s">
        <v>29</v>
      </c>
      <c r="EQ36" s="124" t="s">
        <v>29</v>
      </c>
    </row>
    <row r="37" spans="1:149" ht="30">
      <c r="A37" s="125" t="s">
        <v>403</v>
      </c>
      <c r="B37" s="126" t="s">
        <v>404</v>
      </c>
      <c r="C37" s="122" t="s">
        <v>349</v>
      </c>
      <c r="D37" s="124">
        <f>[7]НР_стр.1_2!D34</f>
        <v>17874.537362777199</v>
      </c>
      <c r="E37" s="124" t="s">
        <v>29</v>
      </c>
      <c r="F37" s="124" t="s">
        <v>29</v>
      </c>
      <c r="G37" s="124">
        <f>[7]НР_стр.1_2!E34</f>
        <v>19716</v>
      </c>
      <c r="H37" s="124">
        <f>[7]НР_стр.1_2!F34</f>
        <v>17874.537362777199</v>
      </c>
      <c r="I37" s="124" t="s">
        <v>29</v>
      </c>
      <c r="J37" s="124" t="s">
        <v>29</v>
      </c>
      <c r="K37" s="124">
        <f>[7]НР_стр.1_2!G34</f>
        <v>0</v>
      </c>
      <c r="L37" s="124">
        <f t="shared" ref="L37:S37" si="61">L38</f>
        <v>6011.6589924</v>
      </c>
      <c r="M37" s="124" t="s">
        <v>29</v>
      </c>
      <c r="N37" s="124" t="s">
        <v>29</v>
      </c>
      <c r="O37" s="124">
        <f t="shared" si="61"/>
        <v>5132.2559621790297</v>
      </c>
      <c r="P37" s="124">
        <f t="shared" si="50"/>
        <v>-879.40303022097032</v>
      </c>
      <c r="Q37" s="124">
        <f t="shared" si="61"/>
        <v>6234.0903751143496</v>
      </c>
      <c r="R37" s="124">
        <f t="shared" si="61"/>
        <v>6234.0903751143496</v>
      </c>
      <c r="S37" s="124">
        <f t="shared" si="61"/>
        <v>6234.0903751143496</v>
      </c>
      <c r="T37" s="124">
        <f>T38+T39+T40</f>
        <v>6489.56358</v>
      </c>
      <c r="U37" s="124">
        <f t="shared" si="51"/>
        <v>255.47320488565038</v>
      </c>
      <c r="V37" s="124">
        <f>V38</f>
        <v>6464.7517189889604</v>
      </c>
      <c r="W37" s="124" t="s">
        <v>29</v>
      </c>
      <c r="X37" s="124" t="s">
        <v>29</v>
      </c>
      <c r="Y37" s="124">
        <f>Y38</f>
        <v>6703.9475325867697</v>
      </c>
      <c r="Z37" s="124" t="s">
        <v>29</v>
      </c>
      <c r="AA37" s="124" t="s">
        <v>29</v>
      </c>
      <c r="AB37" s="124">
        <f>AB38</f>
        <v>6951.9935912875098</v>
      </c>
      <c r="AC37" s="124" t="s">
        <v>29</v>
      </c>
      <c r="AD37" s="124" t="s">
        <v>29</v>
      </c>
      <c r="AE37" s="124">
        <f t="shared" si="4"/>
        <v>6951.9935912875098</v>
      </c>
      <c r="AF37" s="124" t="s">
        <v>29</v>
      </c>
      <c r="AG37" s="124" t="s">
        <v>29</v>
      </c>
      <c r="AH37" s="124">
        <f t="shared" si="5"/>
        <v>6951.9935912875098</v>
      </c>
      <c r="AI37" s="124" t="s">
        <v>29</v>
      </c>
      <c r="AJ37" s="124" t="s">
        <v>29</v>
      </c>
      <c r="AK37" s="124">
        <f t="shared" si="6"/>
        <v>6951.9935912875098</v>
      </c>
      <c r="AL37" s="124" t="s">
        <v>29</v>
      </c>
      <c r="AM37" s="124" t="s">
        <v>29</v>
      </c>
      <c r="AN37" s="124">
        <f t="shared" si="7"/>
        <v>6951.9935912875098</v>
      </c>
      <c r="AO37" s="124" t="s">
        <v>29</v>
      </c>
      <c r="AP37" s="124" t="s">
        <v>29</v>
      </c>
      <c r="AQ37" s="124">
        <f t="shared" si="8"/>
        <v>6951.9935912875098</v>
      </c>
      <c r="AR37" s="124" t="s">
        <v>29</v>
      </c>
      <c r="AS37" s="124" t="s">
        <v>29</v>
      </c>
      <c r="AT37" s="124">
        <f t="shared" si="9"/>
        <v>6951.9935912875098</v>
      </c>
      <c r="AU37" s="124" t="s">
        <v>29</v>
      </c>
      <c r="AV37" s="124" t="s">
        <v>29</v>
      </c>
      <c r="AW37" s="124">
        <f t="shared" si="10"/>
        <v>6951.9935912875098</v>
      </c>
      <c r="AX37" s="124" t="s">
        <v>29</v>
      </c>
      <c r="AY37" s="124" t="s">
        <v>29</v>
      </c>
      <c r="AZ37" s="124">
        <f t="shared" si="11"/>
        <v>6951.9935912875098</v>
      </c>
      <c r="BA37" s="124" t="s">
        <v>29</v>
      </c>
      <c r="BB37" s="124" t="s">
        <v>29</v>
      </c>
      <c r="BC37" s="124">
        <f t="shared" si="12"/>
        <v>6951.9935912875098</v>
      </c>
      <c r="BD37" s="124" t="s">
        <v>29</v>
      </c>
      <c r="BE37" s="124" t="s">
        <v>29</v>
      </c>
      <c r="BF37" s="124">
        <f t="shared" si="13"/>
        <v>6951.9935912875098</v>
      </c>
      <c r="BG37" s="124" t="s">
        <v>29</v>
      </c>
      <c r="BH37" s="124" t="s">
        <v>29</v>
      </c>
      <c r="BI37" s="124">
        <f t="shared" si="14"/>
        <v>6951.9935912875098</v>
      </c>
      <c r="BJ37" s="124" t="s">
        <v>29</v>
      </c>
      <c r="BK37" s="124" t="s">
        <v>29</v>
      </c>
      <c r="BL37" s="124">
        <f t="shared" si="15"/>
        <v>6951.9935912875098</v>
      </c>
      <c r="BM37" s="124" t="s">
        <v>29</v>
      </c>
      <c r="BN37" s="124" t="s">
        <v>29</v>
      </c>
      <c r="BO37" s="124">
        <f t="shared" si="16"/>
        <v>6951.9935912875098</v>
      </c>
      <c r="BP37" s="124" t="s">
        <v>29</v>
      </c>
      <c r="BQ37" s="124" t="s">
        <v>29</v>
      </c>
      <c r="BR37" s="124">
        <f t="shared" si="17"/>
        <v>6951.9935912875098</v>
      </c>
      <c r="BS37" s="124" t="s">
        <v>29</v>
      </c>
      <c r="BT37" s="124" t="s">
        <v>29</v>
      </c>
      <c r="BU37" s="124">
        <f t="shared" si="18"/>
        <v>6951.9935912875098</v>
      </c>
      <c r="BV37" s="124" t="s">
        <v>29</v>
      </c>
      <c r="BW37" s="124" t="s">
        <v>29</v>
      </c>
      <c r="BX37" s="124">
        <f>[7]НР_стр.1_2!AB34</f>
        <v>25464.206704605502</v>
      </c>
      <c r="BY37" s="124" t="s">
        <v>29</v>
      </c>
      <c r="BZ37" s="124" t="s">
        <v>29</v>
      </c>
      <c r="CA37" s="124">
        <f>[7]НР_стр.1_2!AC34</f>
        <v>23753</v>
      </c>
      <c r="CB37" s="124">
        <f>[7]НР_стр.1_2!AD34</f>
        <v>25464.206704605502</v>
      </c>
      <c r="CC37" s="124" t="s">
        <v>29</v>
      </c>
      <c r="CD37" s="124" t="s">
        <v>29</v>
      </c>
      <c r="CE37" s="124">
        <f>[7]НР_стр.1_2!AE34</f>
        <v>0</v>
      </c>
      <c r="CF37" s="124">
        <f t="shared" ref="CF37:CK37" si="62">CF38</f>
        <v>4661.2370075999997</v>
      </c>
      <c r="CG37" s="124" t="s">
        <v>29</v>
      </c>
      <c r="CH37" s="124" t="s">
        <v>29</v>
      </c>
      <c r="CI37" s="124">
        <f t="shared" si="62"/>
        <v>4296.5640638479399</v>
      </c>
      <c r="CJ37" s="124">
        <f t="shared" si="52"/>
        <v>-364.67294375205984</v>
      </c>
      <c r="CK37" s="124">
        <f t="shared" si="62"/>
        <v>4833.7027768777498</v>
      </c>
      <c r="CL37" s="124" t="s">
        <v>29</v>
      </c>
      <c r="CM37" s="124" t="s">
        <v>29</v>
      </c>
      <c r="CN37" s="124">
        <f>CN38+CN39+CN40</f>
        <v>4117.4239900000002</v>
      </c>
      <c r="CO37" s="124">
        <f t="shared" si="53"/>
        <v>-716.27878687774955</v>
      </c>
      <c r="CP37" s="124">
        <f>CP38</f>
        <v>5012.5497796186401</v>
      </c>
      <c r="CQ37" s="124" t="s">
        <v>29</v>
      </c>
      <c r="CR37" s="124" t="s">
        <v>29</v>
      </c>
      <c r="CS37" s="124">
        <f>CS38</f>
        <v>5198.0141214608202</v>
      </c>
      <c r="CT37" s="124" t="s">
        <v>29</v>
      </c>
      <c r="CU37" s="124" t="s">
        <v>29</v>
      </c>
      <c r="CV37" s="124">
        <f>CV38</f>
        <v>5390.34064395102</v>
      </c>
      <c r="CW37" s="124" t="s">
        <v>29</v>
      </c>
      <c r="CX37" s="124" t="s">
        <v>29</v>
      </c>
      <c r="CY37" s="277">
        <f t="shared" si="23"/>
        <v>5390.34064395102</v>
      </c>
      <c r="CZ37" s="124" t="s">
        <v>29</v>
      </c>
      <c r="DA37" s="124" t="s">
        <v>29</v>
      </c>
      <c r="DB37" s="277">
        <f t="shared" si="24"/>
        <v>5390.34064395102</v>
      </c>
      <c r="DC37" s="124" t="s">
        <v>29</v>
      </c>
      <c r="DD37" s="124" t="s">
        <v>29</v>
      </c>
      <c r="DE37" s="277">
        <f t="shared" si="25"/>
        <v>5390.34064395102</v>
      </c>
      <c r="DF37" s="124" t="s">
        <v>29</v>
      </c>
      <c r="DG37" s="124" t="s">
        <v>29</v>
      </c>
      <c r="DH37" s="277">
        <f t="shared" si="26"/>
        <v>5390.34064395102</v>
      </c>
      <c r="DI37" s="124" t="s">
        <v>29</v>
      </c>
      <c r="DJ37" s="124" t="s">
        <v>29</v>
      </c>
      <c r="DK37" s="277">
        <f t="shared" si="27"/>
        <v>5390.34064395102</v>
      </c>
      <c r="DL37" s="124" t="s">
        <v>29</v>
      </c>
      <c r="DM37" s="124" t="s">
        <v>29</v>
      </c>
      <c r="DN37" s="277">
        <f t="shared" si="28"/>
        <v>5390.34064395102</v>
      </c>
      <c r="DO37" s="124" t="s">
        <v>29</v>
      </c>
      <c r="DP37" s="124" t="s">
        <v>29</v>
      </c>
      <c r="DQ37" s="277">
        <f t="shared" si="29"/>
        <v>5390.34064395102</v>
      </c>
      <c r="DR37" s="124" t="s">
        <v>29</v>
      </c>
      <c r="DS37" s="124" t="s">
        <v>29</v>
      </c>
      <c r="DT37" s="277">
        <f t="shared" si="30"/>
        <v>5390.34064395102</v>
      </c>
      <c r="DU37" s="124" t="s">
        <v>29</v>
      </c>
      <c r="DV37" s="124" t="s">
        <v>29</v>
      </c>
      <c r="DW37" s="277">
        <f t="shared" si="31"/>
        <v>5390.34064395102</v>
      </c>
      <c r="DX37" s="124" t="s">
        <v>29</v>
      </c>
      <c r="DY37" s="124" t="s">
        <v>29</v>
      </c>
      <c r="DZ37" s="277">
        <f t="shared" si="32"/>
        <v>5390.34064395102</v>
      </c>
      <c r="EA37" s="124" t="s">
        <v>29</v>
      </c>
      <c r="EB37" s="124" t="s">
        <v>29</v>
      </c>
      <c r="EC37" s="277">
        <f t="shared" si="33"/>
        <v>5390.34064395102</v>
      </c>
      <c r="ED37" s="124" t="s">
        <v>29</v>
      </c>
      <c r="EE37" s="124" t="s">
        <v>29</v>
      </c>
      <c r="EF37" s="277">
        <f t="shared" si="34"/>
        <v>5390.34064395102</v>
      </c>
      <c r="EG37" s="124" t="s">
        <v>29</v>
      </c>
      <c r="EH37" s="124" t="s">
        <v>29</v>
      </c>
      <c r="EI37" s="277">
        <f t="shared" si="35"/>
        <v>5390.34064395102</v>
      </c>
      <c r="EJ37" s="124" t="s">
        <v>29</v>
      </c>
      <c r="EK37" s="124" t="s">
        <v>29</v>
      </c>
      <c r="EL37" s="277">
        <f t="shared" si="36"/>
        <v>5390.34064395102</v>
      </c>
      <c r="EM37" s="124" t="s">
        <v>29</v>
      </c>
      <c r="EN37" s="124" t="s">
        <v>29</v>
      </c>
      <c r="EO37" s="277">
        <f t="shared" si="37"/>
        <v>5390.34064395102</v>
      </c>
      <c r="EP37" s="124" t="s">
        <v>29</v>
      </c>
      <c r="EQ37" s="124" t="s">
        <v>29</v>
      </c>
    </row>
    <row r="38" spans="1:149">
      <c r="A38" s="125" t="s">
        <v>405</v>
      </c>
      <c r="B38" s="126" t="s">
        <v>406</v>
      </c>
      <c r="C38" s="122" t="s">
        <v>349</v>
      </c>
      <c r="D38" s="124">
        <f>[7]НР_стр.1_2!D35</f>
        <v>17874.537362777199</v>
      </c>
      <c r="E38" s="124" t="s">
        <v>29</v>
      </c>
      <c r="F38" s="124" t="s">
        <v>29</v>
      </c>
      <c r="G38" s="124">
        <f>[7]НР_стр.1_2!E35</f>
        <v>19716</v>
      </c>
      <c r="H38" s="124">
        <f>[7]НР_стр.1_2!F35</f>
        <v>17874.537362777199</v>
      </c>
      <c r="I38" s="124" t="s">
        <v>29</v>
      </c>
      <c r="J38" s="124" t="s">
        <v>29</v>
      </c>
      <c r="K38" s="124">
        <f>[7]НР_стр.1_2!G35</f>
        <v>0</v>
      </c>
      <c r="L38" s="124">
        <v>6011.6589924</v>
      </c>
      <c r="M38" s="124" t="s">
        <v>29</v>
      </c>
      <c r="N38" s="124" t="s">
        <v>29</v>
      </c>
      <c r="O38" s="124">
        <v>5132.2559621790297</v>
      </c>
      <c r="P38" s="124">
        <f t="shared" si="50"/>
        <v>-879.40303022097032</v>
      </c>
      <c r="Q38" s="124">
        <v>6234.0903751143496</v>
      </c>
      <c r="R38" s="124">
        <v>6234.0903751143496</v>
      </c>
      <c r="S38" s="124">
        <v>6234.0903751143496</v>
      </c>
      <c r="T38" s="124">
        <v>6109.0843400000003</v>
      </c>
      <c r="U38" s="124">
        <f t="shared" si="51"/>
        <v>-125.00603511434929</v>
      </c>
      <c r="V38" s="124">
        <v>6464.7517189889604</v>
      </c>
      <c r="W38" s="124" t="s">
        <v>29</v>
      </c>
      <c r="X38" s="124" t="s">
        <v>29</v>
      </c>
      <c r="Y38" s="124">
        <v>6703.9475325867697</v>
      </c>
      <c r="Z38" s="124" t="s">
        <v>29</v>
      </c>
      <c r="AA38" s="124" t="s">
        <v>29</v>
      </c>
      <c r="AB38" s="124">
        <v>6951.9935912875098</v>
      </c>
      <c r="AC38" s="124" t="s">
        <v>29</v>
      </c>
      <c r="AD38" s="124" t="s">
        <v>29</v>
      </c>
      <c r="AE38" s="124">
        <f t="shared" si="4"/>
        <v>6951.9935912875098</v>
      </c>
      <c r="AF38" s="124" t="s">
        <v>29</v>
      </c>
      <c r="AG38" s="124" t="s">
        <v>29</v>
      </c>
      <c r="AH38" s="124">
        <f t="shared" si="5"/>
        <v>6951.9935912875098</v>
      </c>
      <c r="AI38" s="124" t="s">
        <v>29</v>
      </c>
      <c r="AJ38" s="124" t="s">
        <v>29</v>
      </c>
      <c r="AK38" s="124">
        <f t="shared" si="6"/>
        <v>6951.9935912875098</v>
      </c>
      <c r="AL38" s="124" t="s">
        <v>29</v>
      </c>
      <c r="AM38" s="124" t="s">
        <v>29</v>
      </c>
      <c r="AN38" s="124">
        <f t="shared" si="7"/>
        <v>6951.9935912875098</v>
      </c>
      <c r="AO38" s="124" t="s">
        <v>29</v>
      </c>
      <c r="AP38" s="124" t="s">
        <v>29</v>
      </c>
      <c r="AQ38" s="124">
        <f t="shared" si="8"/>
        <v>6951.9935912875098</v>
      </c>
      <c r="AR38" s="124" t="s">
        <v>29</v>
      </c>
      <c r="AS38" s="124" t="s">
        <v>29</v>
      </c>
      <c r="AT38" s="124">
        <f t="shared" si="9"/>
        <v>6951.9935912875098</v>
      </c>
      <c r="AU38" s="124" t="s">
        <v>29</v>
      </c>
      <c r="AV38" s="124" t="s">
        <v>29</v>
      </c>
      <c r="AW38" s="124">
        <f t="shared" si="10"/>
        <v>6951.9935912875098</v>
      </c>
      <c r="AX38" s="124" t="s">
        <v>29</v>
      </c>
      <c r="AY38" s="124" t="s">
        <v>29</v>
      </c>
      <c r="AZ38" s="124">
        <f t="shared" si="11"/>
        <v>6951.9935912875098</v>
      </c>
      <c r="BA38" s="124" t="s">
        <v>29</v>
      </c>
      <c r="BB38" s="124" t="s">
        <v>29</v>
      </c>
      <c r="BC38" s="124">
        <f t="shared" si="12"/>
        <v>6951.9935912875098</v>
      </c>
      <c r="BD38" s="124" t="s">
        <v>29</v>
      </c>
      <c r="BE38" s="124" t="s">
        <v>29</v>
      </c>
      <c r="BF38" s="124">
        <f t="shared" si="13"/>
        <v>6951.9935912875098</v>
      </c>
      <c r="BG38" s="124" t="s">
        <v>29</v>
      </c>
      <c r="BH38" s="124" t="s">
        <v>29</v>
      </c>
      <c r="BI38" s="124">
        <f t="shared" si="14"/>
        <v>6951.9935912875098</v>
      </c>
      <c r="BJ38" s="124" t="s">
        <v>29</v>
      </c>
      <c r="BK38" s="124" t="s">
        <v>29</v>
      </c>
      <c r="BL38" s="124">
        <f t="shared" si="15"/>
        <v>6951.9935912875098</v>
      </c>
      <c r="BM38" s="124" t="s">
        <v>29</v>
      </c>
      <c r="BN38" s="124" t="s">
        <v>29</v>
      </c>
      <c r="BO38" s="124">
        <f t="shared" si="16"/>
        <v>6951.9935912875098</v>
      </c>
      <c r="BP38" s="124" t="s">
        <v>29</v>
      </c>
      <c r="BQ38" s="124" t="s">
        <v>29</v>
      </c>
      <c r="BR38" s="124">
        <f t="shared" si="17"/>
        <v>6951.9935912875098</v>
      </c>
      <c r="BS38" s="124" t="s">
        <v>29</v>
      </c>
      <c r="BT38" s="124" t="s">
        <v>29</v>
      </c>
      <c r="BU38" s="124">
        <f t="shared" si="18"/>
        <v>6951.9935912875098</v>
      </c>
      <c r="BV38" s="124" t="s">
        <v>29</v>
      </c>
      <c r="BW38" s="124" t="s">
        <v>29</v>
      </c>
      <c r="BX38" s="124">
        <f>[7]НР_стр.1_2!AB35</f>
        <v>25464.206704605502</v>
      </c>
      <c r="BY38" s="124" t="s">
        <v>29</v>
      </c>
      <c r="BZ38" s="124" t="s">
        <v>29</v>
      </c>
      <c r="CA38" s="124">
        <f>[7]НР_стр.1_2!AC35</f>
        <v>23753</v>
      </c>
      <c r="CB38" s="124">
        <f>[7]НР_стр.1_2!AD35</f>
        <v>25464.206704605502</v>
      </c>
      <c r="CC38" s="124" t="s">
        <v>29</v>
      </c>
      <c r="CD38" s="124" t="s">
        <v>29</v>
      </c>
      <c r="CE38" s="124">
        <f>[7]НР_стр.1_2!AE35</f>
        <v>0</v>
      </c>
      <c r="CF38" s="124">
        <v>4661.2370075999997</v>
      </c>
      <c r="CG38" s="124" t="s">
        <v>29</v>
      </c>
      <c r="CH38" s="124" t="s">
        <v>29</v>
      </c>
      <c r="CI38" s="124">
        <v>4296.5640638479399</v>
      </c>
      <c r="CJ38" s="124">
        <f t="shared" si="52"/>
        <v>-364.67294375205984</v>
      </c>
      <c r="CK38" s="124">
        <v>4833.7027768777498</v>
      </c>
      <c r="CL38" s="124" t="s">
        <v>29</v>
      </c>
      <c r="CM38" s="124" t="s">
        <v>29</v>
      </c>
      <c r="CN38" s="124">
        <v>4117.4239900000002</v>
      </c>
      <c r="CO38" s="124">
        <f t="shared" si="53"/>
        <v>-716.27878687774955</v>
      </c>
      <c r="CP38" s="124">
        <v>5012.5497796186401</v>
      </c>
      <c r="CQ38" s="124" t="s">
        <v>29</v>
      </c>
      <c r="CR38" s="124" t="s">
        <v>29</v>
      </c>
      <c r="CS38" s="124">
        <v>5198.0141214608202</v>
      </c>
      <c r="CT38" s="124" t="s">
        <v>29</v>
      </c>
      <c r="CU38" s="124" t="s">
        <v>29</v>
      </c>
      <c r="CV38" s="124">
        <v>5390.34064395102</v>
      </c>
      <c r="CW38" s="124" t="s">
        <v>29</v>
      </c>
      <c r="CX38" s="124" t="s">
        <v>29</v>
      </c>
      <c r="CY38" s="277">
        <f t="shared" si="23"/>
        <v>5390.34064395102</v>
      </c>
      <c r="CZ38" s="124" t="s">
        <v>29</v>
      </c>
      <c r="DA38" s="124" t="s">
        <v>29</v>
      </c>
      <c r="DB38" s="277">
        <f t="shared" si="24"/>
        <v>5390.34064395102</v>
      </c>
      <c r="DC38" s="124" t="s">
        <v>29</v>
      </c>
      <c r="DD38" s="124" t="s">
        <v>29</v>
      </c>
      <c r="DE38" s="277">
        <f t="shared" si="25"/>
        <v>5390.34064395102</v>
      </c>
      <c r="DF38" s="124" t="s">
        <v>29</v>
      </c>
      <c r="DG38" s="124" t="s">
        <v>29</v>
      </c>
      <c r="DH38" s="277">
        <f t="shared" si="26"/>
        <v>5390.34064395102</v>
      </c>
      <c r="DI38" s="124" t="s">
        <v>29</v>
      </c>
      <c r="DJ38" s="124" t="s">
        <v>29</v>
      </c>
      <c r="DK38" s="277">
        <f t="shared" si="27"/>
        <v>5390.34064395102</v>
      </c>
      <c r="DL38" s="124" t="s">
        <v>29</v>
      </c>
      <c r="DM38" s="124" t="s">
        <v>29</v>
      </c>
      <c r="DN38" s="277">
        <f t="shared" si="28"/>
        <v>5390.34064395102</v>
      </c>
      <c r="DO38" s="124" t="s">
        <v>29</v>
      </c>
      <c r="DP38" s="124" t="s">
        <v>29</v>
      </c>
      <c r="DQ38" s="277">
        <f t="shared" si="29"/>
        <v>5390.34064395102</v>
      </c>
      <c r="DR38" s="124" t="s">
        <v>29</v>
      </c>
      <c r="DS38" s="124" t="s">
        <v>29</v>
      </c>
      <c r="DT38" s="277">
        <f t="shared" si="30"/>
        <v>5390.34064395102</v>
      </c>
      <c r="DU38" s="124" t="s">
        <v>29</v>
      </c>
      <c r="DV38" s="124" t="s">
        <v>29</v>
      </c>
      <c r="DW38" s="277">
        <f t="shared" si="31"/>
        <v>5390.34064395102</v>
      </c>
      <c r="DX38" s="124" t="s">
        <v>29</v>
      </c>
      <c r="DY38" s="124" t="s">
        <v>29</v>
      </c>
      <c r="DZ38" s="277">
        <f t="shared" si="32"/>
        <v>5390.34064395102</v>
      </c>
      <c r="EA38" s="124" t="s">
        <v>29</v>
      </c>
      <c r="EB38" s="124" t="s">
        <v>29</v>
      </c>
      <c r="EC38" s="277">
        <f t="shared" si="33"/>
        <v>5390.34064395102</v>
      </c>
      <c r="ED38" s="124" t="s">
        <v>29</v>
      </c>
      <c r="EE38" s="124" t="s">
        <v>29</v>
      </c>
      <c r="EF38" s="277">
        <f t="shared" si="34"/>
        <v>5390.34064395102</v>
      </c>
      <c r="EG38" s="124" t="s">
        <v>29</v>
      </c>
      <c r="EH38" s="124" t="s">
        <v>29</v>
      </c>
      <c r="EI38" s="277">
        <f t="shared" si="35"/>
        <v>5390.34064395102</v>
      </c>
      <c r="EJ38" s="124" t="s">
        <v>29</v>
      </c>
      <c r="EK38" s="124" t="s">
        <v>29</v>
      </c>
      <c r="EL38" s="277">
        <f t="shared" si="36"/>
        <v>5390.34064395102</v>
      </c>
      <c r="EM38" s="124" t="s">
        <v>29</v>
      </c>
      <c r="EN38" s="124" t="s">
        <v>29</v>
      </c>
      <c r="EO38" s="277">
        <f t="shared" si="37"/>
        <v>5390.34064395102</v>
      </c>
      <c r="EP38" s="124" t="s">
        <v>29</v>
      </c>
      <c r="EQ38" s="124" t="s">
        <v>29</v>
      </c>
    </row>
    <row r="39" spans="1:149">
      <c r="A39" s="125" t="s">
        <v>407</v>
      </c>
      <c r="B39" s="126" t="s">
        <v>408</v>
      </c>
      <c r="C39" s="122" t="s">
        <v>349</v>
      </c>
      <c r="D39" s="124">
        <f>[7]НР_стр.1_2!D36</f>
        <v>0</v>
      </c>
      <c r="E39" s="124" t="s">
        <v>29</v>
      </c>
      <c r="F39" s="124" t="s">
        <v>29</v>
      </c>
      <c r="G39" s="124">
        <f>[7]НР_стр.1_2!E36</f>
        <v>0</v>
      </c>
      <c r="H39" s="124">
        <f>[7]НР_стр.1_2!F36</f>
        <v>0</v>
      </c>
      <c r="I39" s="124" t="s">
        <v>29</v>
      </c>
      <c r="J39" s="124" t="s">
        <v>29</v>
      </c>
      <c r="K39" s="124">
        <f>[7]НР_стр.1_2!G36</f>
        <v>0</v>
      </c>
      <c r="L39" s="124">
        <v>0</v>
      </c>
      <c r="M39" s="124" t="s">
        <v>29</v>
      </c>
      <c r="N39" s="124" t="s">
        <v>29</v>
      </c>
      <c r="O39" s="124">
        <v>0</v>
      </c>
      <c r="P39" s="124">
        <f t="shared" si="50"/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f t="shared" si="51"/>
        <v>0</v>
      </c>
      <c r="V39" s="124">
        <v>0</v>
      </c>
      <c r="W39" s="124" t="s">
        <v>29</v>
      </c>
      <c r="X39" s="124" t="s">
        <v>29</v>
      </c>
      <c r="Y39" s="124">
        <v>0</v>
      </c>
      <c r="Z39" s="124" t="s">
        <v>29</v>
      </c>
      <c r="AA39" s="124" t="s">
        <v>29</v>
      </c>
      <c r="AB39" s="124">
        <v>0</v>
      </c>
      <c r="AC39" s="124" t="s">
        <v>29</v>
      </c>
      <c r="AD39" s="124" t="s">
        <v>29</v>
      </c>
      <c r="AE39" s="124">
        <f t="shared" si="4"/>
        <v>0</v>
      </c>
      <c r="AF39" s="124" t="s">
        <v>29</v>
      </c>
      <c r="AG39" s="124" t="s">
        <v>29</v>
      </c>
      <c r="AH39" s="124">
        <f t="shared" si="5"/>
        <v>0</v>
      </c>
      <c r="AI39" s="124" t="s">
        <v>29</v>
      </c>
      <c r="AJ39" s="124" t="s">
        <v>29</v>
      </c>
      <c r="AK39" s="124">
        <f t="shared" si="6"/>
        <v>0</v>
      </c>
      <c r="AL39" s="124" t="s">
        <v>29</v>
      </c>
      <c r="AM39" s="124" t="s">
        <v>29</v>
      </c>
      <c r="AN39" s="124">
        <f t="shared" si="7"/>
        <v>0</v>
      </c>
      <c r="AO39" s="124" t="s">
        <v>29</v>
      </c>
      <c r="AP39" s="124" t="s">
        <v>29</v>
      </c>
      <c r="AQ39" s="124">
        <f t="shared" si="8"/>
        <v>0</v>
      </c>
      <c r="AR39" s="124" t="s">
        <v>29</v>
      </c>
      <c r="AS39" s="124" t="s">
        <v>29</v>
      </c>
      <c r="AT39" s="124">
        <f t="shared" si="9"/>
        <v>0</v>
      </c>
      <c r="AU39" s="124" t="s">
        <v>29</v>
      </c>
      <c r="AV39" s="124" t="s">
        <v>29</v>
      </c>
      <c r="AW39" s="124">
        <f t="shared" si="10"/>
        <v>0</v>
      </c>
      <c r="AX39" s="124" t="s">
        <v>29</v>
      </c>
      <c r="AY39" s="124" t="s">
        <v>29</v>
      </c>
      <c r="AZ39" s="124">
        <f t="shared" si="11"/>
        <v>0</v>
      </c>
      <c r="BA39" s="124" t="s">
        <v>29</v>
      </c>
      <c r="BB39" s="124" t="s">
        <v>29</v>
      </c>
      <c r="BC39" s="124">
        <f t="shared" si="12"/>
        <v>0</v>
      </c>
      <c r="BD39" s="124" t="s">
        <v>29</v>
      </c>
      <c r="BE39" s="124" t="s">
        <v>29</v>
      </c>
      <c r="BF39" s="124">
        <f t="shared" si="13"/>
        <v>0</v>
      </c>
      <c r="BG39" s="124" t="s">
        <v>29</v>
      </c>
      <c r="BH39" s="124" t="s">
        <v>29</v>
      </c>
      <c r="BI39" s="124">
        <f t="shared" si="14"/>
        <v>0</v>
      </c>
      <c r="BJ39" s="124" t="s">
        <v>29</v>
      </c>
      <c r="BK39" s="124" t="s">
        <v>29</v>
      </c>
      <c r="BL39" s="124">
        <f t="shared" si="15"/>
        <v>0</v>
      </c>
      <c r="BM39" s="124" t="s">
        <v>29</v>
      </c>
      <c r="BN39" s="124" t="s">
        <v>29</v>
      </c>
      <c r="BO39" s="124">
        <f t="shared" si="16"/>
        <v>0</v>
      </c>
      <c r="BP39" s="124" t="s">
        <v>29</v>
      </c>
      <c r="BQ39" s="124" t="s">
        <v>29</v>
      </c>
      <c r="BR39" s="124">
        <f t="shared" si="17"/>
        <v>0</v>
      </c>
      <c r="BS39" s="124" t="s">
        <v>29</v>
      </c>
      <c r="BT39" s="124" t="s">
        <v>29</v>
      </c>
      <c r="BU39" s="124">
        <f t="shared" si="18"/>
        <v>0</v>
      </c>
      <c r="BV39" s="124" t="s">
        <v>29</v>
      </c>
      <c r="BW39" s="124" t="s">
        <v>29</v>
      </c>
      <c r="BX39" s="124">
        <f>[7]НР_стр.1_2!AB36</f>
        <v>0</v>
      </c>
      <c r="BY39" s="124" t="s">
        <v>29</v>
      </c>
      <c r="BZ39" s="124" t="s">
        <v>29</v>
      </c>
      <c r="CA39" s="124">
        <f>[7]НР_стр.1_2!AC36</f>
        <v>0</v>
      </c>
      <c r="CB39" s="124">
        <f>[7]НР_стр.1_2!AD36</f>
        <v>0</v>
      </c>
      <c r="CC39" s="124" t="s">
        <v>29</v>
      </c>
      <c r="CD39" s="124" t="s">
        <v>29</v>
      </c>
      <c r="CE39" s="124">
        <f>[7]НР_стр.1_2!AE36</f>
        <v>0</v>
      </c>
      <c r="CF39" s="124">
        <v>0</v>
      </c>
      <c r="CG39" s="124" t="s">
        <v>29</v>
      </c>
      <c r="CH39" s="124" t="s">
        <v>29</v>
      </c>
      <c r="CI39" s="124">
        <v>0</v>
      </c>
      <c r="CJ39" s="124">
        <f t="shared" si="52"/>
        <v>0</v>
      </c>
      <c r="CK39" s="124">
        <v>0</v>
      </c>
      <c r="CL39" s="124" t="s">
        <v>29</v>
      </c>
      <c r="CM39" s="124" t="s">
        <v>29</v>
      </c>
      <c r="CN39" s="124">
        <v>0</v>
      </c>
      <c r="CO39" s="124">
        <f t="shared" si="53"/>
        <v>0</v>
      </c>
      <c r="CP39" s="124">
        <v>0</v>
      </c>
      <c r="CQ39" s="124" t="s">
        <v>29</v>
      </c>
      <c r="CR39" s="124" t="s">
        <v>29</v>
      </c>
      <c r="CS39" s="124">
        <v>0</v>
      </c>
      <c r="CT39" s="124" t="s">
        <v>29</v>
      </c>
      <c r="CU39" s="124" t="s">
        <v>29</v>
      </c>
      <c r="CV39" s="124">
        <v>0</v>
      </c>
      <c r="CW39" s="124" t="s">
        <v>29</v>
      </c>
      <c r="CX39" s="124" t="s">
        <v>29</v>
      </c>
      <c r="CY39" s="277">
        <f t="shared" si="23"/>
        <v>0</v>
      </c>
      <c r="CZ39" s="124" t="s">
        <v>29</v>
      </c>
      <c r="DA39" s="124" t="s">
        <v>29</v>
      </c>
      <c r="DB39" s="277">
        <f t="shared" si="24"/>
        <v>0</v>
      </c>
      <c r="DC39" s="124" t="s">
        <v>29</v>
      </c>
      <c r="DD39" s="124" t="s">
        <v>29</v>
      </c>
      <c r="DE39" s="277">
        <f t="shared" si="25"/>
        <v>0</v>
      </c>
      <c r="DF39" s="124" t="s">
        <v>29</v>
      </c>
      <c r="DG39" s="124" t="s">
        <v>29</v>
      </c>
      <c r="DH39" s="277">
        <f t="shared" si="26"/>
        <v>0</v>
      </c>
      <c r="DI39" s="124" t="s">
        <v>29</v>
      </c>
      <c r="DJ39" s="124" t="s">
        <v>29</v>
      </c>
      <c r="DK39" s="277">
        <f t="shared" si="27"/>
        <v>0</v>
      </c>
      <c r="DL39" s="124" t="s">
        <v>29</v>
      </c>
      <c r="DM39" s="124" t="s">
        <v>29</v>
      </c>
      <c r="DN39" s="277">
        <f t="shared" si="28"/>
        <v>0</v>
      </c>
      <c r="DO39" s="124" t="s">
        <v>29</v>
      </c>
      <c r="DP39" s="124" t="s">
        <v>29</v>
      </c>
      <c r="DQ39" s="277">
        <f t="shared" si="29"/>
        <v>0</v>
      </c>
      <c r="DR39" s="124" t="s">
        <v>29</v>
      </c>
      <c r="DS39" s="124" t="s">
        <v>29</v>
      </c>
      <c r="DT39" s="277">
        <f t="shared" si="30"/>
        <v>0</v>
      </c>
      <c r="DU39" s="124" t="s">
        <v>29</v>
      </c>
      <c r="DV39" s="124" t="s">
        <v>29</v>
      </c>
      <c r="DW39" s="277">
        <f t="shared" si="31"/>
        <v>0</v>
      </c>
      <c r="DX39" s="124" t="s">
        <v>29</v>
      </c>
      <c r="DY39" s="124" t="s">
        <v>29</v>
      </c>
      <c r="DZ39" s="277">
        <f t="shared" si="32"/>
        <v>0</v>
      </c>
      <c r="EA39" s="124" t="s">
        <v>29</v>
      </c>
      <c r="EB39" s="124" t="s">
        <v>29</v>
      </c>
      <c r="EC39" s="277">
        <f t="shared" si="33"/>
        <v>0</v>
      </c>
      <c r="ED39" s="124" t="s">
        <v>29</v>
      </c>
      <c r="EE39" s="124" t="s">
        <v>29</v>
      </c>
      <c r="EF39" s="277">
        <f t="shared" si="34"/>
        <v>0</v>
      </c>
      <c r="EG39" s="124" t="s">
        <v>29</v>
      </c>
      <c r="EH39" s="124" t="s">
        <v>29</v>
      </c>
      <c r="EI39" s="277">
        <f t="shared" si="35"/>
        <v>0</v>
      </c>
      <c r="EJ39" s="124" t="s">
        <v>29</v>
      </c>
      <c r="EK39" s="124" t="s">
        <v>29</v>
      </c>
      <c r="EL39" s="277">
        <f t="shared" si="36"/>
        <v>0</v>
      </c>
      <c r="EM39" s="124" t="s">
        <v>29</v>
      </c>
      <c r="EN39" s="124" t="s">
        <v>29</v>
      </c>
      <c r="EO39" s="277">
        <f t="shared" si="37"/>
        <v>0</v>
      </c>
      <c r="EP39" s="124" t="s">
        <v>29</v>
      </c>
      <c r="EQ39" s="124" t="s">
        <v>29</v>
      </c>
    </row>
    <row r="40" spans="1:149">
      <c r="A40" s="125" t="s">
        <v>409</v>
      </c>
      <c r="B40" s="126" t="s">
        <v>410</v>
      </c>
      <c r="C40" s="122" t="s">
        <v>349</v>
      </c>
      <c r="D40" s="124">
        <f>[7]НР_стр.1_2!D37</f>
        <v>0</v>
      </c>
      <c r="E40" s="124" t="s">
        <v>29</v>
      </c>
      <c r="F40" s="124" t="s">
        <v>29</v>
      </c>
      <c r="G40" s="124">
        <f>[7]НР_стр.1_2!E37</f>
        <v>0</v>
      </c>
      <c r="H40" s="124">
        <f>[7]НР_стр.1_2!F37</f>
        <v>0</v>
      </c>
      <c r="I40" s="124" t="s">
        <v>29</v>
      </c>
      <c r="J40" s="124" t="s">
        <v>29</v>
      </c>
      <c r="K40" s="124">
        <f>[7]НР_стр.1_2!G37</f>
        <v>0</v>
      </c>
      <c r="L40" s="124">
        <v>0</v>
      </c>
      <c r="M40" s="124" t="s">
        <v>29</v>
      </c>
      <c r="N40" s="124" t="s">
        <v>29</v>
      </c>
      <c r="O40" s="124">
        <v>0</v>
      </c>
      <c r="P40" s="124">
        <f t="shared" si="50"/>
        <v>0</v>
      </c>
      <c r="Q40" s="124">
        <v>0</v>
      </c>
      <c r="R40" s="124">
        <v>0</v>
      </c>
      <c r="S40" s="124">
        <v>0</v>
      </c>
      <c r="T40" s="124">
        <v>380.47924</v>
      </c>
      <c r="U40" s="124">
        <f t="shared" si="51"/>
        <v>380.47924</v>
      </c>
      <c r="V40" s="124">
        <v>0</v>
      </c>
      <c r="W40" s="124" t="s">
        <v>29</v>
      </c>
      <c r="X40" s="124" t="s">
        <v>29</v>
      </c>
      <c r="Y40" s="124">
        <v>0</v>
      </c>
      <c r="Z40" s="124" t="s">
        <v>29</v>
      </c>
      <c r="AA40" s="124" t="s">
        <v>29</v>
      </c>
      <c r="AB40" s="124">
        <v>0</v>
      </c>
      <c r="AC40" s="124" t="s">
        <v>29</v>
      </c>
      <c r="AD40" s="124" t="s">
        <v>29</v>
      </c>
      <c r="AE40" s="124">
        <f t="shared" si="4"/>
        <v>0</v>
      </c>
      <c r="AF40" s="124" t="s">
        <v>29</v>
      </c>
      <c r="AG40" s="124" t="s">
        <v>29</v>
      </c>
      <c r="AH40" s="124">
        <f t="shared" si="5"/>
        <v>0</v>
      </c>
      <c r="AI40" s="124" t="s">
        <v>29</v>
      </c>
      <c r="AJ40" s="124" t="s">
        <v>29</v>
      </c>
      <c r="AK40" s="124">
        <f t="shared" si="6"/>
        <v>0</v>
      </c>
      <c r="AL40" s="124" t="s">
        <v>29</v>
      </c>
      <c r="AM40" s="124" t="s">
        <v>29</v>
      </c>
      <c r="AN40" s="124">
        <f t="shared" si="7"/>
        <v>0</v>
      </c>
      <c r="AO40" s="124" t="s">
        <v>29</v>
      </c>
      <c r="AP40" s="124" t="s">
        <v>29</v>
      </c>
      <c r="AQ40" s="124">
        <f t="shared" si="8"/>
        <v>0</v>
      </c>
      <c r="AR40" s="124" t="s">
        <v>29</v>
      </c>
      <c r="AS40" s="124" t="s">
        <v>29</v>
      </c>
      <c r="AT40" s="124">
        <f t="shared" si="9"/>
        <v>0</v>
      </c>
      <c r="AU40" s="124" t="s">
        <v>29</v>
      </c>
      <c r="AV40" s="124" t="s">
        <v>29</v>
      </c>
      <c r="AW40" s="124">
        <f t="shared" si="10"/>
        <v>0</v>
      </c>
      <c r="AX40" s="124" t="s">
        <v>29</v>
      </c>
      <c r="AY40" s="124" t="s">
        <v>29</v>
      </c>
      <c r="AZ40" s="124">
        <f t="shared" si="11"/>
        <v>0</v>
      </c>
      <c r="BA40" s="124" t="s">
        <v>29</v>
      </c>
      <c r="BB40" s="124" t="s">
        <v>29</v>
      </c>
      <c r="BC40" s="124">
        <f t="shared" si="12"/>
        <v>0</v>
      </c>
      <c r="BD40" s="124" t="s">
        <v>29</v>
      </c>
      <c r="BE40" s="124" t="s">
        <v>29</v>
      </c>
      <c r="BF40" s="124">
        <f t="shared" si="13"/>
        <v>0</v>
      </c>
      <c r="BG40" s="124" t="s">
        <v>29</v>
      </c>
      <c r="BH40" s="124" t="s">
        <v>29</v>
      </c>
      <c r="BI40" s="124">
        <f t="shared" si="14"/>
        <v>0</v>
      </c>
      <c r="BJ40" s="124" t="s">
        <v>29</v>
      </c>
      <c r="BK40" s="124" t="s">
        <v>29</v>
      </c>
      <c r="BL40" s="124">
        <f t="shared" si="15"/>
        <v>0</v>
      </c>
      <c r="BM40" s="124" t="s">
        <v>29</v>
      </c>
      <c r="BN40" s="124" t="s">
        <v>29</v>
      </c>
      <c r="BO40" s="124">
        <f t="shared" si="16"/>
        <v>0</v>
      </c>
      <c r="BP40" s="124" t="s">
        <v>29</v>
      </c>
      <c r="BQ40" s="124" t="s">
        <v>29</v>
      </c>
      <c r="BR40" s="124">
        <f t="shared" si="17"/>
        <v>0</v>
      </c>
      <c r="BS40" s="124" t="s">
        <v>29</v>
      </c>
      <c r="BT40" s="124" t="s">
        <v>29</v>
      </c>
      <c r="BU40" s="124">
        <f t="shared" si="18"/>
        <v>0</v>
      </c>
      <c r="BV40" s="124" t="s">
        <v>29</v>
      </c>
      <c r="BW40" s="124" t="s">
        <v>29</v>
      </c>
      <c r="BX40" s="124">
        <f>[7]НР_стр.1_2!AB37</f>
        <v>0</v>
      </c>
      <c r="BY40" s="124" t="s">
        <v>29</v>
      </c>
      <c r="BZ40" s="124" t="s">
        <v>29</v>
      </c>
      <c r="CA40" s="124">
        <f>[7]НР_стр.1_2!AC37</f>
        <v>0</v>
      </c>
      <c r="CB40" s="124">
        <f>[7]НР_стр.1_2!AD37</f>
        <v>0</v>
      </c>
      <c r="CC40" s="124" t="s">
        <v>29</v>
      </c>
      <c r="CD40" s="124" t="s">
        <v>29</v>
      </c>
      <c r="CE40" s="124">
        <f>[7]НР_стр.1_2!AE37</f>
        <v>0</v>
      </c>
      <c r="CF40" s="124">
        <v>0</v>
      </c>
      <c r="CG40" s="124" t="s">
        <v>29</v>
      </c>
      <c r="CH40" s="124" t="s">
        <v>29</v>
      </c>
      <c r="CI40" s="124">
        <v>0</v>
      </c>
      <c r="CJ40" s="124">
        <f t="shared" si="52"/>
        <v>0</v>
      </c>
      <c r="CK40" s="124">
        <v>0</v>
      </c>
      <c r="CL40" s="124" t="s">
        <v>29</v>
      </c>
      <c r="CM40" s="124" t="s">
        <v>29</v>
      </c>
      <c r="CN40" s="124">
        <v>0</v>
      </c>
      <c r="CO40" s="124">
        <f t="shared" si="53"/>
        <v>0</v>
      </c>
      <c r="CP40" s="124">
        <v>0</v>
      </c>
      <c r="CQ40" s="124" t="s">
        <v>29</v>
      </c>
      <c r="CR40" s="124" t="s">
        <v>29</v>
      </c>
      <c r="CS40" s="124">
        <v>0</v>
      </c>
      <c r="CT40" s="124" t="s">
        <v>29</v>
      </c>
      <c r="CU40" s="124" t="s">
        <v>29</v>
      </c>
      <c r="CV40" s="124">
        <v>0</v>
      </c>
      <c r="CW40" s="124" t="s">
        <v>29</v>
      </c>
      <c r="CX40" s="124" t="s">
        <v>29</v>
      </c>
      <c r="CY40" s="277">
        <f t="shared" si="23"/>
        <v>0</v>
      </c>
      <c r="CZ40" s="124" t="s">
        <v>29</v>
      </c>
      <c r="DA40" s="124" t="s">
        <v>29</v>
      </c>
      <c r="DB40" s="277">
        <f t="shared" si="24"/>
        <v>0</v>
      </c>
      <c r="DC40" s="124" t="s">
        <v>29</v>
      </c>
      <c r="DD40" s="124" t="s">
        <v>29</v>
      </c>
      <c r="DE40" s="277">
        <f t="shared" si="25"/>
        <v>0</v>
      </c>
      <c r="DF40" s="124" t="s">
        <v>29</v>
      </c>
      <c r="DG40" s="124" t="s">
        <v>29</v>
      </c>
      <c r="DH40" s="277">
        <f t="shared" si="26"/>
        <v>0</v>
      </c>
      <c r="DI40" s="124" t="s">
        <v>29</v>
      </c>
      <c r="DJ40" s="124" t="s">
        <v>29</v>
      </c>
      <c r="DK40" s="277">
        <f t="shared" si="27"/>
        <v>0</v>
      </c>
      <c r="DL40" s="124" t="s">
        <v>29</v>
      </c>
      <c r="DM40" s="124" t="s">
        <v>29</v>
      </c>
      <c r="DN40" s="277">
        <f t="shared" si="28"/>
        <v>0</v>
      </c>
      <c r="DO40" s="124" t="s">
        <v>29</v>
      </c>
      <c r="DP40" s="124" t="s">
        <v>29</v>
      </c>
      <c r="DQ40" s="277">
        <f t="shared" si="29"/>
        <v>0</v>
      </c>
      <c r="DR40" s="124" t="s">
        <v>29</v>
      </c>
      <c r="DS40" s="124" t="s">
        <v>29</v>
      </c>
      <c r="DT40" s="277">
        <f t="shared" si="30"/>
        <v>0</v>
      </c>
      <c r="DU40" s="124" t="s">
        <v>29</v>
      </c>
      <c r="DV40" s="124" t="s">
        <v>29</v>
      </c>
      <c r="DW40" s="277">
        <f t="shared" si="31"/>
        <v>0</v>
      </c>
      <c r="DX40" s="124" t="s">
        <v>29</v>
      </c>
      <c r="DY40" s="124" t="s">
        <v>29</v>
      </c>
      <c r="DZ40" s="277">
        <f t="shared" si="32"/>
        <v>0</v>
      </c>
      <c r="EA40" s="124" t="s">
        <v>29</v>
      </c>
      <c r="EB40" s="124" t="s">
        <v>29</v>
      </c>
      <c r="EC40" s="277">
        <f t="shared" si="33"/>
        <v>0</v>
      </c>
      <c r="ED40" s="124" t="s">
        <v>29</v>
      </c>
      <c r="EE40" s="124" t="s">
        <v>29</v>
      </c>
      <c r="EF40" s="277">
        <f t="shared" si="34"/>
        <v>0</v>
      </c>
      <c r="EG40" s="124" t="s">
        <v>29</v>
      </c>
      <c r="EH40" s="124" t="s">
        <v>29</v>
      </c>
      <c r="EI40" s="277">
        <f t="shared" si="35"/>
        <v>0</v>
      </c>
      <c r="EJ40" s="124" t="s">
        <v>29</v>
      </c>
      <c r="EK40" s="124" t="s">
        <v>29</v>
      </c>
      <c r="EL40" s="277">
        <f t="shared" si="36"/>
        <v>0</v>
      </c>
      <c r="EM40" s="124" t="s">
        <v>29</v>
      </c>
      <c r="EN40" s="124" t="s">
        <v>29</v>
      </c>
      <c r="EO40" s="277">
        <f t="shared" si="37"/>
        <v>0</v>
      </c>
      <c r="EP40" s="124" t="s">
        <v>29</v>
      </c>
      <c r="EQ40" s="124" t="s">
        <v>29</v>
      </c>
    </row>
    <row r="41" spans="1:149" ht="30">
      <c r="A41" s="125" t="s">
        <v>411</v>
      </c>
      <c r="B41" s="126" t="s">
        <v>412</v>
      </c>
      <c r="C41" s="122" t="s">
        <v>349</v>
      </c>
      <c r="D41" s="124">
        <f>[7]НР_стр.1_2!D38</f>
        <v>2401.7808</v>
      </c>
      <c r="E41" s="124" t="s">
        <v>29</v>
      </c>
      <c r="F41" s="124" t="s">
        <v>29</v>
      </c>
      <c r="G41" s="124">
        <f>[7]НР_стр.1_2!E38</f>
        <v>0</v>
      </c>
      <c r="H41" s="124">
        <f>[7]НР_стр.1_2!F38</f>
        <v>2487.38</v>
      </c>
      <c r="I41" s="124" t="s">
        <v>29</v>
      </c>
      <c r="J41" s="124" t="s">
        <v>29</v>
      </c>
      <c r="K41" s="124">
        <f>[7]НР_стр.1_2!G38</f>
        <v>0</v>
      </c>
      <c r="L41" s="124">
        <f t="shared" ref="L41:T41" si="63">L42</f>
        <v>2487.38</v>
      </c>
      <c r="M41" s="124" t="s">
        <v>29</v>
      </c>
      <c r="N41" s="124" t="s">
        <v>29</v>
      </c>
      <c r="O41" s="124">
        <f t="shared" si="63"/>
        <v>0</v>
      </c>
      <c r="P41" s="124">
        <f t="shared" si="50"/>
        <v>-2487.38</v>
      </c>
      <c r="Q41" s="124">
        <f t="shared" si="63"/>
        <v>2604.2868600000002</v>
      </c>
      <c r="R41" s="124">
        <f t="shared" si="63"/>
        <v>2604.2868600000002</v>
      </c>
      <c r="S41" s="124">
        <f t="shared" si="63"/>
        <v>2604.2868600000002</v>
      </c>
      <c r="T41" s="124">
        <f t="shared" si="63"/>
        <v>6186.8548899999996</v>
      </c>
      <c r="U41" s="124">
        <f t="shared" si="51"/>
        <v>3582.5680299999995</v>
      </c>
      <c r="V41" s="124">
        <f>V42</f>
        <v>2726.68834242</v>
      </c>
      <c r="W41" s="124" t="s">
        <v>29</v>
      </c>
      <c r="X41" s="124" t="s">
        <v>29</v>
      </c>
      <c r="Y41" s="124">
        <f>Y42</f>
        <v>2854.8426945137398</v>
      </c>
      <c r="Z41" s="124" t="s">
        <v>29</v>
      </c>
      <c r="AA41" s="124" t="s">
        <v>29</v>
      </c>
      <c r="AB41" s="124">
        <f>AB42</f>
        <v>2989.0203011558901</v>
      </c>
      <c r="AC41" s="124" t="s">
        <v>29</v>
      </c>
      <c r="AD41" s="124" t="s">
        <v>29</v>
      </c>
      <c r="AE41" s="124">
        <f t="shared" si="4"/>
        <v>2989.0203011558901</v>
      </c>
      <c r="AF41" s="124" t="s">
        <v>29</v>
      </c>
      <c r="AG41" s="124" t="s">
        <v>29</v>
      </c>
      <c r="AH41" s="124">
        <f t="shared" si="5"/>
        <v>2989.0203011558901</v>
      </c>
      <c r="AI41" s="124" t="s">
        <v>29</v>
      </c>
      <c r="AJ41" s="124" t="s">
        <v>29</v>
      </c>
      <c r="AK41" s="124">
        <f t="shared" si="6"/>
        <v>2989.0203011558901</v>
      </c>
      <c r="AL41" s="124" t="s">
        <v>29</v>
      </c>
      <c r="AM41" s="124" t="s">
        <v>29</v>
      </c>
      <c r="AN41" s="124">
        <f t="shared" si="7"/>
        <v>2989.0203011558901</v>
      </c>
      <c r="AO41" s="124" t="s">
        <v>29</v>
      </c>
      <c r="AP41" s="124" t="s">
        <v>29</v>
      </c>
      <c r="AQ41" s="124">
        <f t="shared" si="8"/>
        <v>2989.0203011558901</v>
      </c>
      <c r="AR41" s="124" t="s">
        <v>29</v>
      </c>
      <c r="AS41" s="124" t="s">
        <v>29</v>
      </c>
      <c r="AT41" s="124">
        <f t="shared" si="9"/>
        <v>2989.0203011558901</v>
      </c>
      <c r="AU41" s="124" t="s">
        <v>29</v>
      </c>
      <c r="AV41" s="124" t="s">
        <v>29</v>
      </c>
      <c r="AW41" s="124">
        <f t="shared" si="10"/>
        <v>2989.0203011558901</v>
      </c>
      <c r="AX41" s="124" t="s">
        <v>29</v>
      </c>
      <c r="AY41" s="124" t="s">
        <v>29</v>
      </c>
      <c r="AZ41" s="124">
        <f t="shared" si="11"/>
        <v>2989.0203011558901</v>
      </c>
      <c r="BA41" s="124" t="s">
        <v>29</v>
      </c>
      <c r="BB41" s="124" t="s">
        <v>29</v>
      </c>
      <c r="BC41" s="124">
        <f t="shared" si="12"/>
        <v>2989.0203011558901</v>
      </c>
      <c r="BD41" s="124" t="s">
        <v>29</v>
      </c>
      <c r="BE41" s="124" t="s">
        <v>29</v>
      </c>
      <c r="BF41" s="124">
        <f t="shared" si="13"/>
        <v>2989.0203011558901</v>
      </c>
      <c r="BG41" s="124" t="s">
        <v>29</v>
      </c>
      <c r="BH41" s="124" t="s">
        <v>29</v>
      </c>
      <c r="BI41" s="124">
        <f t="shared" si="14"/>
        <v>2989.0203011558901</v>
      </c>
      <c r="BJ41" s="124" t="s">
        <v>29</v>
      </c>
      <c r="BK41" s="124" t="s">
        <v>29</v>
      </c>
      <c r="BL41" s="124">
        <f t="shared" si="15"/>
        <v>2989.0203011558901</v>
      </c>
      <c r="BM41" s="124" t="s">
        <v>29</v>
      </c>
      <c r="BN41" s="124" t="s">
        <v>29</v>
      </c>
      <c r="BO41" s="124">
        <f t="shared" si="16"/>
        <v>2989.0203011558901</v>
      </c>
      <c r="BP41" s="124" t="s">
        <v>29</v>
      </c>
      <c r="BQ41" s="124" t="s">
        <v>29</v>
      </c>
      <c r="BR41" s="124">
        <f t="shared" si="17"/>
        <v>2989.0203011558901</v>
      </c>
      <c r="BS41" s="124" t="s">
        <v>29</v>
      </c>
      <c r="BT41" s="124" t="s">
        <v>29</v>
      </c>
      <c r="BU41" s="124">
        <f t="shared" si="18"/>
        <v>2989.0203011558901</v>
      </c>
      <c r="BV41" s="124" t="s">
        <v>29</v>
      </c>
      <c r="BW41" s="124" t="s">
        <v>29</v>
      </c>
      <c r="BX41" s="124">
        <f>[7]НР_стр.1_2!AB38</f>
        <v>1810.2058</v>
      </c>
      <c r="BY41" s="124" t="s">
        <v>29</v>
      </c>
      <c r="BZ41" s="124" t="s">
        <v>29</v>
      </c>
      <c r="CA41" s="124">
        <f>[7]НР_стр.1_2!AC38</f>
        <v>0</v>
      </c>
      <c r="CB41" s="124">
        <f>[7]НР_стр.1_2!AD38</f>
        <v>1728.32</v>
      </c>
      <c r="CC41" s="124" t="s">
        <v>29</v>
      </c>
      <c r="CD41" s="124" t="s">
        <v>29</v>
      </c>
      <c r="CE41" s="124">
        <f>[7]НР_стр.1_2!AE38</f>
        <v>0</v>
      </c>
      <c r="CF41" s="124">
        <f>CF42</f>
        <v>1728.32</v>
      </c>
      <c r="CG41" s="124" t="s">
        <v>29</v>
      </c>
      <c r="CH41" s="124" t="s">
        <v>29</v>
      </c>
      <c r="CI41" s="124">
        <v>0</v>
      </c>
      <c r="CJ41" s="124">
        <f t="shared" si="52"/>
        <v>-1728.32</v>
      </c>
      <c r="CK41" s="124">
        <f t="shared" ref="CK41:CP41" si="64">CK42</f>
        <v>1792.2678399987201</v>
      </c>
      <c r="CL41" s="124" t="s">
        <v>29</v>
      </c>
      <c r="CM41" s="124" t="s">
        <v>29</v>
      </c>
      <c r="CN41" s="124">
        <f t="shared" si="64"/>
        <v>3903.90013</v>
      </c>
      <c r="CO41" s="124">
        <f t="shared" si="53"/>
        <v>2111.6322900012801</v>
      </c>
      <c r="CP41" s="124">
        <f t="shared" si="64"/>
        <v>1858.5817500773501</v>
      </c>
      <c r="CQ41" s="124" t="s">
        <v>29</v>
      </c>
      <c r="CR41" s="124" t="s">
        <v>29</v>
      </c>
      <c r="CS41" s="124">
        <f>CS42</f>
        <v>1927.3492748288299</v>
      </c>
      <c r="CT41" s="124" t="s">
        <v>29</v>
      </c>
      <c r="CU41" s="124" t="s">
        <v>29</v>
      </c>
      <c r="CV41" s="124">
        <f>CV42</f>
        <v>1998.6611979960701</v>
      </c>
      <c r="CW41" s="124" t="s">
        <v>29</v>
      </c>
      <c r="CX41" s="124" t="s">
        <v>29</v>
      </c>
      <c r="CY41" s="277">
        <f t="shared" si="23"/>
        <v>1998.6611979960701</v>
      </c>
      <c r="CZ41" s="124" t="s">
        <v>29</v>
      </c>
      <c r="DA41" s="124" t="s">
        <v>29</v>
      </c>
      <c r="DB41" s="277">
        <f t="shared" si="24"/>
        <v>1998.6611979960701</v>
      </c>
      <c r="DC41" s="124" t="s">
        <v>29</v>
      </c>
      <c r="DD41" s="124" t="s">
        <v>29</v>
      </c>
      <c r="DE41" s="277">
        <f t="shared" si="25"/>
        <v>1998.6611979960701</v>
      </c>
      <c r="DF41" s="124" t="s">
        <v>29</v>
      </c>
      <c r="DG41" s="124" t="s">
        <v>29</v>
      </c>
      <c r="DH41" s="277">
        <f t="shared" si="26"/>
        <v>1998.6611979960701</v>
      </c>
      <c r="DI41" s="124" t="s">
        <v>29</v>
      </c>
      <c r="DJ41" s="124" t="s">
        <v>29</v>
      </c>
      <c r="DK41" s="277">
        <f t="shared" si="27"/>
        <v>1998.6611979960701</v>
      </c>
      <c r="DL41" s="124" t="s">
        <v>29</v>
      </c>
      <c r="DM41" s="124" t="s">
        <v>29</v>
      </c>
      <c r="DN41" s="277">
        <f t="shared" si="28"/>
        <v>1998.6611979960701</v>
      </c>
      <c r="DO41" s="124" t="s">
        <v>29</v>
      </c>
      <c r="DP41" s="124" t="s">
        <v>29</v>
      </c>
      <c r="DQ41" s="277">
        <f t="shared" si="29"/>
        <v>1998.6611979960701</v>
      </c>
      <c r="DR41" s="124" t="s">
        <v>29</v>
      </c>
      <c r="DS41" s="124" t="s">
        <v>29</v>
      </c>
      <c r="DT41" s="277">
        <f t="shared" si="30"/>
        <v>1998.6611979960701</v>
      </c>
      <c r="DU41" s="124" t="s">
        <v>29</v>
      </c>
      <c r="DV41" s="124" t="s">
        <v>29</v>
      </c>
      <c r="DW41" s="277">
        <f t="shared" si="31"/>
        <v>1998.6611979960701</v>
      </c>
      <c r="DX41" s="124" t="s">
        <v>29</v>
      </c>
      <c r="DY41" s="124" t="s">
        <v>29</v>
      </c>
      <c r="DZ41" s="277">
        <f t="shared" si="32"/>
        <v>1998.6611979960701</v>
      </c>
      <c r="EA41" s="124" t="s">
        <v>29</v>
      </c>
      <c r="EB41" s="124" t="s">
        <v>29</v>
      </c>
      <c r="EC41" s="277">
        <f t="shared" si="33"/>
        <v>1998.6611979960701</v>
      </c>
      <c r="ED41" s="124" t="s">
        <v>29</v>
      </c>
      <c r="EE41" s="124" t="s">
        <v>29</v>
      </c>
      <c r="EF41" s="277">
        <f t="shared" si="34"/>
        <v>1998.6611979960701</v>
      </c>
      <c r="EG41" s="124" t="s">
        <v>29</v>
      </c>
      <c r="EH41" s="124" t="s">
        <v>29</v>
      </c>
      <c r="EI41" s="277">
        <f t="shared" si="35"/>
        <v>1998.6611979960701</v>
      </c>
      <c r="EJ41" s="124" t="s">
        <v>29</v>
      </c>
      <c r="EK41" s="124" t="s">
        <v>29</v>
      </c>
      <c r="EL41" s="277">
        <f t="shared" si="36"/>
        <v>1998.6611979960701</v>
      </c>
      <c r="EM41" s="124" t="s">
        <v>29</v>
      </c>
      <c r="EN41" s="124" t="s">
        <v>29</v>
      </c>
      <c r="EO41" s="277">
        <f t="shared" si="37"/>
        <v>1998.6611979960701</v>
      </c>
      <c r="EP41" s="124" t="s">
        <v>29</v>
      </c>
      <c r="EQ41" s="124" t="s">
        <v>29</v>
      </c>
    </row>
    <row r="42" spans="1:149" ht="30">
      <c r="A42" s="125" t="s">
        <v>413</v>
      </c>
      <c r="B42" s="126" t="s">
        <v>414</v>
      </c>
      <c r="C42" s="122" t="s">
        <v>349</v>
      </c>
      <c r="D42" s="124">
        <f>[7]НР_стр.1_2!D39</f>
        <v>2401.7808</v>
      </c>
      <c r="E42" s="124" t="s">
        <v>29</v>
      </c>
      <c r="F42" s="124" t="s">
        <v>29</v>
      </c>
      <c r="G42" s="124">
        <f>[7]НР_стр.1_2!E39</f>
        <v>0</v>
      </c>
      <c r="H42" s="124">
        <f>[7]НР_стр.1_2!F39</f>
        <v>2487.38</v>
      </c>
      <c r="I42" s="124" t="s">
        <v>29</v>
      </c>
      <c r="J42" s="124" t="s">
        <v>29</v>
      </c>
      <c r="K42" s="124">
        <f>[7]НР_стр.1_2!G39</f>
        <v>0</v>
      </c>
      <c r="L42" s="124">
        <v>2487.38</v>
      </c>
      <c r="M42" s="124" t="s">
        <v>29</v>
      </c>
      <c r="N42" s="124" t="s">
        <v>29</v>
      </c>
      <c r="O42" s="124">
        <v>0</v>
      </c>
      <c r="P42" s="124">
        <f t="shared" si="50"/>
        <v>-2487.38</v>
      </c>
      <c r="Q42" s="124">
        <v>2604.2868600000002</v>
      </c>
      <c r="R42" s="124">
        <v>2604.2868600000002</v>
      </c>
      <c r="S42" s="124">
        <v>2604.2868600000002</v>
      </c>
      <c r="T42" s="124">
        <v>6186.8548899999996</v>
      </c>
      <c r="U42" s="124">
        <f t="shared" si="51"/>
        <v>3582.5680299999995</v>
      </c>
      <c r="V42" s="124">
        <v>2726.68834242</v>
      </c>
      <c r="W42" s="124" t="s">
        <v>29</v>
      </c>
      <c r="X42" s="124" t="s">
        <v>29</v>
      </c>
      <c r="Y42" s="124">
        <v>2854.8426945137398</v>
      </c>
      <c r="Z42" s="124" t="s">
        <v>29</v>
      </c>
      <c r="AA42" s="124" t="s">
        <v>29</v>
      </c>
      <c r="AB42" s="124">
        <v>2989.0203011558901</v>
      </c>
      <c r="AC42" s="124" t="s">
        <v>29</v>
      </c>
      <c r="AD42" s="124" t="s">
        <v>29</v>
      </c>
      <c r="AE42" s="124">
        <f t="shared" si="4"/>
        <v>2989.0203011558901</v>
      </c>
      <c r="AF42" s="124" t="s">
        <v>29</v>
      </c>
      <c r="AG42" s="124" t="s">
        <v>29</v>
      </c>
      <c r="AH42" s="124">
        <f t="shared" si="5"/>
        <v>2989.0203011558901</v>
      </c>
      <c r="AI42" s="124" t="s">
        <v>29</v>
      </c>
      <c r="AJ42" s="124" t="s">
        <v>29</v>
      </c>
      <c r="AK42" s="124">
        <f t="shared" si="6"/>
        <v>2989.0203011558901</v>
      </c>
      <c r="AL42" s="124" t="s">
        <v>29</v>
      </c>
      <c r="AM42" s="124" t="s">
        <v>29</v>
      </c>
      <c r="AN42" s="124">
        <f t="shared" si="7"/>
        <v>2989.0203011558901</v>
      </c>
      <c r="AO42" s="124" t="s">
        <v>29</v>
      </c>
      <c r="AP42" s="124" t="s">
        <v>29</v>
      </c>
      <c r="AQ42" s="124">
        <f t="shared" si="8"/>
        <v>2989.0203011558901</v>
      </c>
      <c r="AR42" s="124" t="s">
        <v>29</v>
      </c>
      <c r="AS42" s="124" t="s">
        <v>29</v>
      </c>
      <c r="AT42" s="124">
        <f t="shared" si="9"/>
        <v>2989.0203011558901</v>
      </c>
      <c r="AU42" s="124" t="s">
        <v>29</v>
      </c>
      <c r="AV42" s="124" t="s">
        <v>29</v>
      </c>
      <c r="AW42" s="124">
        <f t="shared" si="10"/>
        <v>2989.0203011558901</v>
      </c>
      <c r="AX42" s="124" t="s">
        <v>29</v>
      </c>
      <c r="AY42" s="124" t="s">
        <v>29</v>
      </c>
      <c r="AZ42" s="124">
        <f t="shared" si="11"/>
        <v>2989.0203011558901</v>
      </c>
      <c r="BA42" s="124" t="s">
        <v>29</v>
      </c>
      <c r="BB42" s="124" t="s">
        <v>29</v>
      </c>
      <c r="BC42" s="124">
        <f t="shared" si="12"/>
        <v>2989.0203011558901</v>
      </c>
      <c r="BD42" s="124" t="s">
        <v>29</v>
      </c>
      <c r="BE42" s="124" t="s">
        <v>29</v>
      </c>
      <c r="BF42" s="124">
        <f t="shared" si="13"/>
        <v>2989.0203011558901</v>
      </c>
      <c r="BG42" s="124" t="s">
        <v>29</v>
      </c>
      <c r="BH42" s="124" t="s">
        <v>29</v>
      </c>
      <c r="BI42" s="124">
        <f t="shared" si="14"/>
        <v>2989.0203011558901</v>
      </c>
      <c r="BJ42" s="124" t="s">
        <v>29</v>
      </c>
      <c r="BK42" s="124" t="s">
        <v>29</v>
      </c>
      <c r="BL42" s="124">
        <f t="shared" si="15"/>
        <v>2989.0203011558901</v>
      </c>
      <c r="BM42" s="124" t="s">
        <v>29</v>
      </c>
      <c r="BN42" s="124" t="s">
        <v>29</v>
      </c>
      <c r="BO42" s="124">
        <f t="shared" si="16"/>
        <v>2989.0203011558901</v>
      </c>
      <c r="BP42" s="124" t="s">
        <v>29</v>
      </c>
      <c r="BQ42" s="124" t="s">
        <v>29</v>
      </c>
      <c r="BR42" s="124">
        <f t="shared" si="17"/>
        <v>2989.0203011558901</v>
      </c>
      <c r="BS42" s="124" t="s">
        <v>29</v>
      </c>
      <c r="BT42" s="124" t="s">
        <v>29</v>
      </c>
      <c r="BU42" s="124">
        <f t="shared" si="18"/>
        <v>2989.0203011558901</v>
      </c>
      <c r="BV42" s="124" t="s">
        <v>29</v>
      </c>
      <c r="BW42" s="124" t="s">
        <v>29</v>
      </c>
      <c r="BX42" s="124">
        <f>[7]НР_стр.1_2!AB39</f>
        <v>1810.2058</v>
      </c>
      <c r="BY42" s="124" t="s">
        <v>29</v>
      </c>
      <c r="BZ42" s="124" t="s">
        <v>29</v>
      </c>
      <c r="CA42" s="124">
        <f>[7]НР_стр.1_2!AC39</f>
        <v>0</v>
      </c>
      <c r="CB42" s="124">
        <f>[7]НР_стр.1_2!AD39</f>
        <v>1728.32</v>
      </c>
      <c r="CC42" s="124" t="s">
        <v>29</v>
      </c>
      <c r="CD42" s="124" t="s">
        <v>29</v>
      </c>
      <c r="CE42" s="124">
        <f>[7]НР_стр.1_2!AE39</f>
        <v>0</v>
      </c>
      <c r="CF42" s="124">
        <v>1728.32</v>
      </c>
      <c r="CG42" s="124" t="s">
        <v>29</v>
      </c>
      <c r="CH42" s="124" t="s">
        <v>29</v>
      </c>
      <c r="CI42" s="124">
        <v>0</v>
      </c>
      <c r="CJ42" s="124">
        <f t="shared" si="52"/>
        <v>-1728.32</v>
      </c>
      <c r="CK42" s="124">
        <v>1792.2678399987201</v>
      </c>
      <c r="CL42" s="124" t="s">
        <v>29</v>
      </c>
      <c r="CM42" s="124" t="s">
        <v>29</v>
      </c>
      <c r="CN42" s="124">
        <v>3903.90013</v>
      </c>
      <c r="CO42" s="124">
        <f t="shared" si="53"/>
        <v>2111.6322900012801</v>
      </c>
      <c r="CP42" s="124">
        <v>1858.5817500773501</v>
      </c>
      <c r="CQ42" s="124" t="s">
        <v>29</v>
      </c>
      <c r="CR42" s="124" t="s">
        <v>29</v>
      </c>
      <c r="CS42" s="124">
        <v>1927.3492748288299</v>
      </c>
      <c r="CT42" s="124" t="s">
        <v>29</v>
      </c>
      <c r="CU42" s="124" t="s">
        <v>29</v>
      </c>
      <c r="CV42" s="124">
        <v>1998.6611979960701</v>
      </c>
      <c r="CW42" s="124" t="s">
        <v>29</v>
      </c>
      <c r="CX42" s="124" t="s">
        <v>29</v>
      </c>
      <c r="CY42" s="277">
        <f t="shared" si="23"/>
        <v>1998.6611979960701</v>
      </c>
      <c r="CZ42" s="124" t="s">
        <v>29</v>
      </c>
      <c r="DA42" s="124" t="s">
        <v>29</v>
      </c>
      <c r="DB42" s="277">
        <f t="shared" si="24"/>
        <v>1998.6611979960701</v>
      </c>
      <c r="DC42" s="124" t="s">
        <v>29</v>
      </c>
      <c r="DD42" s="124" t="s">
        <v>29</v>
      </c>
      <c r="DE42" s="277">
        <f t="shared" si="25"/>
        <v>1998.6611979960701</v>
      </c>
      <c r="DF42" s="124" t="s">
        <v>29</v>
      </c>
      <c r="DG42" s="124" t="s">
        <v>29</v>
      </c>
      <c r="DH42" s="277">
        <f t="shared" si="26"/>
        <v>1998.6611979960701</v>
      </c>
      <c r="DI42" s="124" t="s">
        <v>29</v>
      </c>
      <c r="DJ42" s="124" t="s">
        <v>29</v>
      </c>
      <c r="DK42" s="277">
        <f t="shared" si="27"/>
        <v>1998.6611979960701</v>
      </c>
      <c r="DL42" s="124" t="s">
        <v>29</v>
      </c>
      <c r="DM42" s="124" t="s">
        <v>29</v>
      </c>
      <c r="DN42" s="277">
        <f t="shared" si="28"/>
        <v>1998.6611979960701</v>
      </c>
      <c r="DO42" s="124" t="s">
        <v>29</v>
      </c>
      <c r="DP42" s="124" t="s">
        <v>29</v>
      </c>
      <c r="DQ42" s="277">
        <f t="shared" si="29"/>
        <v>1998.6611979960701</v>
      </c>
      <c r="DR42" s="124" t="s">
        <v>29</v>
      </c>
      <c r="DS42" s="124" t="s">
        <v>29</v>
      </c>
      <c r="DT42" s="277">
        <f t="shared" si="30"/>
        <v>1998.6611979960701</v>
      </c>
      <c r="DU42" s="124" t="s">
        <v>29</v>
      </c>
      <c r="DV42" s="124" t="s">
        <v>29</v>
      </c>
      <c r="DW42" s="277">
        <f t="shared" si="31"/>
        <v>1998.6611979960701</v>
      </c>
      <c r="DX42" s="124" t="s">
        <v>29</v>
      </c>
      <c r="DY42" s="124" t="s">
        <v>29</v>
      </c>
      <c r="DZ42" s="277">
        <f t="shared" si="32"/>
        <v>1998.6611979960701</v>
      </c>
      <c r="EA42" s="124" t="s">
        <v>29</v>
      </c>
      <c r="EB42" s="124" t="s">
        <v>29</v>
      </c>
      <c r="EC42" s="277">
        <f t="shared" si="33"/>
        <v>1998.6611979960701</v>
      </c>
      <c r="ED42" s="124" t="s">
        <v>29</v>
      </c>
      <c r="EE42" s="124" t="s">
        <v>29</v>
      </c>
      <c r="EF42" s="277">
        <f t="shared" si="34"/>
        <v>1998.6611979960701</v>
      </c>
      <c r="EG42" s="124" t="s">
        <v>29</v>
      </c>
      <c r="EH42" s="124" t="s">
        <v>29</v>
      </c>
      <c r="EI42" s="277">
        <f t="shared" si="35"/>
        <v>1998.6611979960701</v>
      </c>
      <c r="EJ42" s="124" t="s">
        <v>29</v>
      </c>
      <c r="EK42" s="124" t="s">
        <v>29</v>
      </c>
      <c r="EL42" s="277">
        <f t="shared" si="36"/>
        <v>1998.6611979960701</v>
      </c>
      <c r="EM42" s="124" t="s">
        <v>29</v>
      </c>
      <c r="EN42" s="124" t="s">
        <v>29</v>
      </c>
      <c r="EO42" s="277">
        <f t="shared" si="37"/>
        <v>1998.6611979960701</v>
      </c>
      <c r="EP42" s="124" t="s">
        <v>29</v>
      </c>
      <c r="EQ42" s="124" t="s">
        <v>29</v>
      </c>
    </row>
    <row r="43" spans="1:149" ht="30">
      <c r="A43" s="125" t="s">
        <v>415</v>
      </c>
      <c r="B43" s="126" t="s">
        <v>416</v>
      </c>
      <c r="C43" s="122" t="s">
        <v>349</v>
      </c>
      <c r="D43" s="124">
        <f>[7]НР_стр.1_2!D43</f>
        <v>1399</v>
      </c>
      <c r="E43" s="124" t="s">
        <v>29</v>
      </c>
      <c r="F43" s="124" t="s">
        <v>29</v>
      </c>
      <c r="G43" s="124">
        <f>[7]НР_стр.1_2!E43</f>
        <v>0</v>
      </c>
      <c r="H43" s="124">
        <f>[7]НР_стр.1_2!F43</f>
        <v>1399</v>
      </c>
      <c r="I43" s="124" t="s">
        <v>29</v>
      </c>
      <c r="J43" s="124" t="s">
        <v>29</v>
      </c>
      <c r="K43" s="124">
        <f>[7]НР_стр.1_2!G43</f>
        <v>0</v>
      </c>
      <c r="L43" s="124">
        <f>L44+L45</f>
        <v>17628</v>
      </c>
      <c r="M43" s="124" t="s">
        <v>29</v>
      </c>
      <c r="N43" s="124" t="s">
        <v>29</v>
      </c>
      <c r="O43" s="124">
        <v>23344.670838420701</v>
      </c>
      <c r="P43" s="124">
        <f t="shared" si="50"/>
        <v>5716.6708384207013</v>
      </c>
      <c r="Q43" s="124">
        <f t="shared" ref="Q43:T43" si="65">Q44+Q45</f>
        <v>17463.204023541392</v>
      </c>
      <c r="R43" s="124">
        <f t="shared" si="65"/>
        <v>17463.204023541392</v>
      </c>
      <c r="S43" s="124">
        <f t="shared" si="65"/>
        <v>17463.204023541392</v>
      </c>
      <c r="T43" s="124">
        <f t="shared" si="65"/>
        <v>14044.396079010239</v>
      </c>
      <c r="U43" s="124">
        <f t="shared" si="51"/>
        <v>-3418.8079445311523</v>
      </c>
      <c r="V43" s="124">
        <f>V44+V45</f>
        <v>17463.204023541301</v>
      </c>
      <c r="W43" s="124" t="s">
        <v>29</v>
      </c>
      <c r="X43" s="124" t="s">
        <v>29</v>
      </c>
      <c r="Y43" s="124">
        <f>Y44+Y45</f>
        <v>17463.204023541319</v>
      </c>
      <c r="Z43" s="124" t="s">
        <v>29</v>
      </c>
      <c r="AA43" s="124" t="s">
        <v>29</v>
      </c>
      <c r="AB43" s="124">
        <f>AB44+AB45</f>
        <v>17463.204023541388</v>
      </c>
      <c r="AC43" s="124" t="s">
        <v>29</v>
      </c>
      <c r="AD43" s="124" t="s">
        <v>29</v>
      </c>
      <c r="AE43" s="124">
        <f t="shared" si="4"/>
        <v>17463.204023541388</v>
      </c>
      <c r="AF43" s="124" t="s">
        <v>29</v>
      </c>
      <c r="AG43" s="124" t="s">
        <v>29</v>
      </c>
      <c r="AH43" s="124">
        <f t="shared" si="5"/>
        <v>17463.204023541388</v>
      </c>
      <c r="AI43" s="124" t="s">
        <v>29</v>
      </c>
      <c r="AJ43" s="124" t="s">
        <v>29</v>
      </c>
      <c r="AK43" s="124">
        <f t="shared" si="6"/>
        <v>17463.204023541388</v>
      </c>
      <c r="AL43" s="124" t="s">
        <v>29</v>
      </c>
      <c r="AM43" s="124" t="s">
        <v>29</v>
      </c>
      <c r="AN43" s="124">
        <f t="shared" si="7"/>
        <v>17463.204023541388</v>
      </c>
      <c r="AO43" s="124" t="s">
        <v>29</v>
      </c>
      <c r="AP43" s="124" t="s">
        <v>29</v>
      </c>
      <c r="AQ43" s="124">
        <f t="shared" si="8"/>
        <v>17463.204023541388</v>
      </c>
      <c r="AR43" s="124" t="s">
        <v>29</v>
      </c>
      <c r="AS43" s="124" t="s">
        <v>29</v>
      </c>
      <c r="AT43" s="124">
        <f t="shared" si="9"/>
        <v>17463.204023541388</v>
      </c>
      <c r="AU43" s="124" t="s">
        <v>29</v>
      </c>
      <c r="AV43" s="124" t="s">
        <v>29</v>
      </c>
      <c r="AW43" s="124">
        <f t="shared" si="10"/>
        <v>17463.204023541388</v>
      </c>
      <c r="AX43" s="124" t="s">
        <v>29</v>
      </c>
      <c r="AY43" s="124" t="s">
        <v>29</v>
      </c>
      <c r="AZ43" s="124">
        <f t="shared" si="11"/>
        <v>17463.204023541388</v>
      </c>
      <c r="BA43" s="124" t="s">
        <v>29</v>
      </c>
      <c r="BB43" s="124" t="s">
        <v>29</v>
      </c>
      <c r="BC43" s="124">
        <f t="shared" si="12"/>
        <v>17463.204023541388</v>
      </c>
      <c r="BD43" s="124" t="s">
        <v>29</v>
      </c>
      <c r="BE43" s="124" t="s">
        <v>29</v>
      </c>
      <c r="BF43" s="124">
        <f t="shared" si="13"/>
        <v>17463.204023541388</v>
      </c>
      <c r="BG43" s="124" t="s">
        <v>29</v>
      </c>
      <c r="BH43" s="124" t="s">
        <v>29</v>
      </c>
      <c r="BI43" s="124">
        <f t="shared" si="14"/>
        <v>17463.204023541388</v>
      </c>
      <c r="BJ43" s="124" t="s">
        <v>29</v>
      </c>
      <c r="BK43" s="124" t="s">
        <v>29</v>
      </c>
      <c r="BL43" s="124">
        <f t="shared" si="15"/>
        <v>17463.204023541388</v>
      </c>
      <c r="BM43" s="124" t="s">
        <v>29</v>
      </c>
      <c r="BN43" s="124" t="s">
        <v>29</v>
      </c>
      <c r="BO43" s="124">
        <f t="shared" si="16"/>
        <v>17463.204023541388</v>
      </c>
      <c r="BP43" s="124" t="s">
        <v>29</v>
      </c>
      <c r="BQ43" s="124" t="s">
        <v>29</v>
      </c>
      <c r="BR43" s="124">
        <f t="shared" si="17"/>
        <v>17463.204023541388</v>
      </c>
      <c r="BS43" s="124" t="s">
        <v>29</v>
      </c>
      <c r="BT43" s="124" t="s">
        <v>29</v>
      </c>
      <c r="BU43" s="124">
        <f t="shared" si="18"/>
        <v>17463.204023541388</v>
      </c>
      <c r="BV43" s="124" t="s">
        <v>29</v>
      </c>
      <c r="BW43" s="124" t="s">
        <v>29</v>
      </c>
      <c r="BX43" s="124">
        <f>[7]НР_стр.1_2!AB43</f>
        <v>1284.5999999999999</v>
      </c>
      <c r="BY43" s="124" t="s">
        <v>29</v>
      </c>
      <c r="BZ43" s="124" t="s">
        <v>29</v>
      </c>
      <c r="CA43" s="124">
        <f>[7]НР_стр.1_2!AC43</f>
        <v>0</v>
      </c>
      <c r="CB43" s="124">
        <f>[7]НР_стр.1_2!AD43</f>
        <v>1284.5999999999999</v>
      </c>
      <c r="CC43" s="124" t="s">
        <v>29</v>
      </c>
      <c r="CD43" s="124" t="s">
        <v>29</v>
      </c>
      <c r="CE43" s="124">
        <f>[7]НР_стр.1_2!AE43</f>
        <v>0</v>
      </c>
      <c r="CF43" s="124">
        <f>CF44+CF45</f>
        <v>3512</v>
      </c>
      <c r="CG43" s="124" t="s">
        <v>29</v>
      </c>
      <c r="CH43" s="124" t="s">
        <v>29</v>
      </c>
      <c r="CI43" s="124">
        <v>11178.1430387373</v>
      </c>
      <c r="CJ43" s="124">
        <f t="shared" si="52"/>
        <v>7666.1430387373002</v>
      </c>
      <c r="CK43" s="124">
        <f t="shared" ref="CK43:CP43" si="66">CK44+CK45</f>
        <v>3677.3234139924248</v>
      </c>
      <c r="CL43" s="124" t="s">
        <v>29</v>
      </c>
      <c r="CM43" s="124" t="s">
        <v>29</v>
      </c>
      <c r="CN43" s="124">
        <f t="shared" si="66"/>
        <v>9737.56471098976</v>
      </c>
      <c r="CO43" s="124">
        <f t="shared" si="53"/>
        <v>6060.2412969973357</v>
      </c>
      <c r="CP43" s="124">
        <f t="shared" si="66"/>
        <v>3677.323413992428</v>
      </c>
      <c r="CQ43" s="124" t="s">
        <v>29</v>
      </c>
      <c r="CR43" s="124" t="s">
        <v>29</v>
      </c>
      <c r="CS43" s="124">
        <f>CS44+CS45</f>
        <v>3677.3234139924307</v>
      </c>
      <c r="CT43" s="124" t="s">
        <v>29</v>
      </c>
      <c r="CU43" s="124" t="s">
        <v>29</v>
      </c>
      <c r="CV43" s="124">
        <f>CV44+CV45</f>
        <v>3677.3234139924307</v>
      </c>
      <c r="CW43" s="124" t="s">
        <v>29</v>
      </c>
      <c r="CX43" s="124" t="s">
        <v>29</v>
      </c>
      <c r="CY43" s="277">
        <f t="shared" si="23"/>
        <v>3677.3234139924307</v>
      </c>
      <c r="CZ43" s="124" t="s">
        <v>29</v>
      </c>
      <c r="DA43" s="124" t="s">
        <v>29</v>
      </c>
      <c r="DB43" s="277">
        <f t="shared" si="24"/>
        <v>3677.3234139924307</v>
      </c>
      <c r="DC43" s="124" t="s">
        <v>29</v>
      </c>
      <c r="DD43" s="124" t="s">
        <v>29</v>
      </c>
      <c r="DE43" s="277">
        <f t="shared" si="25"/>
        <v>3677.3234139924307</v>
      </c>
      <c r="DF43" s="124" t="s">
        <v>29</v>
      </c>
      <c r="DG43" s="124" t="s">
        <v>29</v>
      </c>
      <c r="DH43" s="277">
        <f t="shared" si="26"/>
        <v>3677.3234139924307</v>
      </c>
      <c r="DI43" s="124" t="s">
        <v>29</v>
      </c>
      <c r="DJ43" s="124" t="s">
        <v>29</v>
      </c>
      <c r="DK43" s="277">
        <f t="shared" si="27"/>
        <v>3677.3234139924307</v>
      </c>
      <c r="DL43" s="124" t="s">
        <v>29</v>
      </c>
      <c r="DM43" s="124" t="s">
        <v>29</v>
      </c>
      <c r="DN43" s="277">
        <f t="shared" si="28"/>
        <v>3677.3234139924307</v>
      </c>
      <c r="DO43" s="124" t="s">
        <v>29</v>
      </c>
      <c r="DP43" s="124" t="s">
        <v>29</v>
      </c>
      <c r="DQ43" s="277">
        <f t="shared" si="29"/>
        <v>3677.3234139924307</v>
      </c>
      <c r="DR43" s="124" t="s">
        <v>29</v>
      </c>
      <c r="DS43" s="124" t="s">
        <v>29</v>
      </c>
      <c r="DT43" s="277">
        <f t="shared" si="30"/>
        <v>3677.3234139924307</v>
      </c>
      <c r="DU43" s="124" t="s">
        <v>29</v>
      </c>
      <c r="DV43" s="124" t="s">
        <v>29</v>
      </c>
      <c r="DW43" s="277">
        <f t="shared" si="31"/>
        <v>3677.3234139924307</v>
      </c>
      <c r="DX43" s="124" t="s">
        <v>29</v>
      </c>
      <c r="DY43" s="124" t="s">
        <v>29</v>
      </c>
      <c r="DZ43" s="277">
        <f t="shared" si="32"/>
        <v>3677.3234139924307</v>
      </c>
      <c r="EA43" s="124" t="s">
        <v>29</v>
      </c>
      <c r="EB43" s="124" t="s">
        <v>29</v>
      </c>
      <c r="EC43" s="277">
        <f t="shared" si="33"/>
        <v>3677.3234139924307</v>
      </c>
      <c r="ED43" s="124" t="s">
        <v>29</v>
      </c>
      <c r="EE43" s="124" t="s">
        <v>29</v>
      </c>
      <c r="EF43" s="277">
        <f t="shared" si="34"/>
        <v>3677.3234139924307</v>
      </c>
      <c r="EG43" s="124" t="s">
        <v>29</v>
      </c>
      <c r="EH43" s="124" t="s">
        <v>29</v>
      </c>
      <c r="EI43" s="277">
        <f t="shared" si="35"/>
        <v>3677.3234139924307</v>
      </c>
      <c r="EJ43" s="124" t="s">
        <v>29</v>
      </c>
      <c r="EK43" s="124" t="s">
        <v>29</v>
      </c>
      <c r="EL43" s="277">
        <f t="shared" si="36"/>
        <v>3677.3234139924307</v>
      </c>
      <c r="EM43" s="124" t="s">
        <v>29</v>
      </c>
      <c r="EN43" s="124" t="s">
        <v>29</v>
      </c>
      <c r="EO43" s="277">
        <f t="shared" si="37"/>
        <v>3677.3234139924307</v>
      </c>
      <c r="EP43" s="124" t="s">
        <v>29</v>
      </c>
      <c r="EQ43" s="124" t="s">
        <v>29</v>
      </c>
    </row>
    <row r="44" spans="1:149">
      <c r="A44" s="125" t="s">
        <v>417</v>
      </c>
      <c r="B44" s="126" t="s">
        <v>418</v>
      </c>
      <c r="C44" s="122" t="s">
        <v>349</v>
      </c>
      <c r="D44" s="124">
        <f>[7]Расчет_тарифа_стр.1_3!D23</f>
        <v>1399</v>
      </c>
      <c r="E44" s="124" t="s">
        <v>29</v>
      </c>
      <c r="F44" s="124" t="s">
        <v>29</v>
      </c>
      <c r="G44" s="124">
        <f>[7]Расчет_тарифа_стр.1_3!G23</f>
        <v>0</v>
      </c>
      <c r="H44" s="124">
        <f>[7]Расчет_тарифа_стр.1_3!H23</f>
        <v>1399</v>
      </c>
      <c r="I44" s="124" t="s">
        <v>29</v>
      </c>
      <c r="J44" s="124" t="s">
        <v>29</v>
      </c>
      <c r="K44" s="124">
        <f>[7]Расчет_тарифа_стр.1_3!K23</f>
        <v>0</v>
      </c>
      <c r="L44" s="124">
        <v>2536</v>
      </c>
      <c r="M44" s="124" t="s">
        <v>29</v>
      </c>
      <c r="N44" s="124" t="s">
        <v>29</v>
      </c>
      <c r="O44" s="124">
        <v>0</v>
      </c>
      <c r="P44" s="124">
        <f t="shared" si="50"/>
        <v>-2536</v>
      </c>
      <c r="Q44" s="124">
        <v>3295.9171280442902</v>
      </c>
      <c r="R44" s="124">
        <v>3295.9171280442902</v>
      </c>
      <c r="S44" s="124">
        <v>3295.9171280442902</v>
      </c>
      <c r="T44" s="124">
        <v>4686.0006149621704</v>
      </c>
      <c r="U44" s="124">
        <f t="shared" si="51"/>
        <v>1390.0834869178802</v>
      </c>
      <c r="V44" s="124">
        <v>3623.0289403339002</v>
      </c>
      <c r="W44" s="124" t="s">
        <v>29</v>
      </c>
      <c r="X44" s="124" t="s">
        <v>29</v>
      </c>
      <c r="Y44" s="124">
        <v>3982.6058097176201</v>
      </c>
      <c r="Z44" s="124" t="s">
        <v>29</v>
      </c>
      <c r="AA44" s="124" t="s">
        <v>29</v>
      </c>
      <c r="AB44" s="124">
        <v>4377.8698146790903</v>
      </c>
      <c r="AC44" s="124" t="s">
        <v>29</v>
      </c>
      <c r="AD44" s="124" t="s">
        <v>29</v>
      </c>
      <c r="AE44" s="124">
        <f t="shared" si="4"/>
        <v>4377.8698146790903</v>
      </c>
      <c r="AF44" s="124" t="s">
        <v>29</v>
      </c>
      <c r="AG44" s="124" t="s">
        <v>29</v>
      </c>
      <c r="AH44" s="124">
        <f t="shared" si="5"/>
        <v>4377.8698146790903</v>
      </c>
      <c r="AI44" s="124" t="s">
        <v>29</v>
      </c>
      <c r="AJ44" s="124" t="s">
        <v>29</v>
      </c>
      <c r="AK44" s="124">
        <f t="shared" si="6"/>
        <v>4377.8698146790903</v>
      </c>
      <c r="AL44" s="124" t="s">
        <v>29</v>
      </c>
      <c r="AM44" s="124" t="s">
        <v>29</v>
      </c>
      <c r="AN44" s="124">
        <f t="shared" si="7"/>
        <v>4377.8698146790903</v>
      </c>
      <c r="AO44" s="124" t="s">
        <v>29</v>
      </c>
      <c r="AP44" s="124" t="s">
        <v>29</v>
      </c>
      <c r="AQ44" s="124">
        <f t="shared" si="8"/>
        <v>4377.8698146790903</v>
      </c>
      <c r="AR44" s="124" t="s">
        <v>29</v>
      </c>
      <c r="AS44" s="124" t="s">
        <v>29</v>
      </c>
      <c r="AT44" s="124">
        <f t="shared" si="9"/>
        <v>4377.8698146790903</v>
      </c>
      <c r="AU44" s="124" t="s">
        <v>29</v>
      </c>
      <c r="AV44" s="124" t="s">
        <v>29</v>
      </c>
      <c r="AW44" s="124">
        <f t="shared" si="10"/>
        <v>4377.8698146790903</v>
      </c>
      <c r="AX44" s="124" t="s">
        <v>29</v>
      </c>
      <c r="AY44" s="124" t="s">
        <v>29</v>
      </c>
      <c r="AZ44" s="124">
        <f t="shared" si="11"/>
        <v>4377.8698146790903</v>
      </c>
      <c r="BA44" s="124" t="s">
        <v>29</v>
      </c>
      <c r="BB44" s="124" t="s">
        <v>29</v>
      </c>
      <c r="BC44" s="124">
        <f t="shared" si="12"/>
        <v>4377.8698146790903</v>
      </c>
      <c r="BD44" s="124" t="s">
        <v>29</v>
      </c>
      <c r="BE44" s="124" t="s">
        <v>29</v>
      </c>
      <c r="BF44" s="124">
        <f t="shared" si="13"/>
        <v>4377.8698146790903</v>
      </c>
      <c r="BG44" s="124" t="s">
        <v>29</v>
      </c>
      <c r="BH44" s="124" t="s">
        <v>29</v>
      </c>
      <c r="BI44" s="124">
        <f t="shared" si="14"/>
        <v>4377.8698146790903</v>
      </c>
      <c r="BJ44" s="124" t="s">
        <v>29</v>
      </c>
      <c r="BK44" s="124" t="s">
        <v>29</v>
      </c>
      <c r="BL44" s="124">
        <f t="shared" si="15"/>
        <v>4377.8698146790903</v>
      </c>
      <c r="BM44" s="124" t="s">
        <v>29</v>
      </c>
      <c r="BN44" s="124" t="s">
        <v>29</v>
      </c>
      <c r="BO44" s="124">
        <f t="shared" si="16"/>
        <v>4377.8698146790903</v>
      </c>
      <c r="BP44" s="124" t="s">
        <v>29</v>
      </c>
      <c r="BQ44" s="124" t="s">
        <v>29</v>
      </c>
      <c r="BR44" s="124">
        <f t="shared" si="17"/>
        <v>4377.8698146790903</v>
      </c>
      <c r="BS44" s="124" t="s">
        <v>29</v>
      </c>
      <c r="BT44" s="124" t="s">
        <v>29</v>
      </c>
      <c r="BU44" s="124">
        <f t="shared" si="18"/>
        <v>4377.8698146790903</v>
      </c>
      <c r="BV44" s="124" t="s">
        <v>29</v>
      </c>
      <c r="BW44" s="124" t="s">
        <v>29</v>
      </c>
      <c r="BX44" s="124">
        <f>[7]Расчет_тарифа_стр.1_3!AF23</f>
        <v>1284.5999999999999</v>
      </c>
      <c r="BY44" s="124" t="str">
        <f>[7]Расчет_тарифа_стр.1_3!AG23</f>
        <v>х</v>
      </c>
      <c r="BZ44" s="124" t="str">
        <f>[7]Расчет_тарифа_стр.1_3!AH23</f>
        <v>х</v>
      </c>
      <c r="CA44" s="124">
        <f>[7]Расчет_тарифа_стр.1_3!AI23</f>
        <v>0</v>
      </c>
      <c r="CB44" s="124">
        <f>[7]Расчет_тарифа_стр.1_3!AJ23</f>
        <v>1284.5999999999999</v>
      </c>
      <c r="CC44" s="124" t="str">
        <f>[7]Расчет_тарифа_стр.1_3!AK23</f>
        <v>х</v>
      </c>
      <c r="CD44" s="124" t="str">
        <f>[7]Расчет_тарифа_стр.1_3!AL23</f>
        <v>х</v>
      </c>
      <c r="CE44" s="124">
        <f>[7]Расчет_тарифа_стр.1_3!AM23</f>
        <v>0</v>
      </c>
      <c r="CF44" s="124">
        <v>505</v>
      </c>
      <c r="CG44" s="124" t="s">
        <v>29</v>
      </c>
      <c r="CH44" s="124" t="s">
        <v>29</v>
      </c>
      <c r="CI44" s="124">
        <v>0</v>
      </c>
      <c r="CJ44" s="124">
        <f t="shared" si="52"/>
        <v>-505</v>
      </c>
      <c r="CK44" s="124">
        <v>694.03949064543497</v>
      </c>
      <c r="CL44" s="124" t="s">
        <v>29</v>
      </c>
      <c r="CM44" s="124" t="s">
        <v>29</v>
      </c>
      <c r="CN44" s="124">
        <v>3248.9993850378301</v>
      </c>
      <c r="CO44" s="124">
        <f t="shared" si="53"/>
        <v>2554.9598943923952</v>
      </c>
      <c r="CP44" s="124">
        <v>762.92123334880796</v>
      </c>
      <c r="CQ44" s="124" t="s">
        <v>29</v>
      </c>
      <c r="CR44" s="124" t="s">
        <v>29</v>
      </c>
      <c r="CS44" s="124">
        <v>838.63932260278102</v>
      </c>
      <c r="CT44" s="124" t="s">
        <v>29</v>
      </c>
      <c r="CU44" s="124" t="s">
        <v>29</v>
      </c>
      <c r="CV44" s="124">
        <v>921.87224928644105</v>
      </c>
      <c r="CW44" s="124" t="s">
        <v>29</v>
      </c>
      <c r="CX44" s="124" t="s">
        <v>29</v>
      </c>
      <c r="CY44" s="277">
        <f t="shared" si="23"/>
        <v>921.87224928644105</v>
      </c>
      <c r="CZ44" s="124" t="s">
        <v>29</v>
      </c>
      <c r="DA44" s="124" t="s">
        <v>29</v>
      </c>
      <c r="DB44" s="277">
        <f t="shared" si="24"/>
        <v>921.87224928644105</v>
      </c>
      <c r="DC44" s="124" t="s">
        <v>29</v>
      </c>
      <c r="DD44" s="124" t="s">
        <v>29</v>
      </c>
      <c r="DE44" s="277">
        <f t="shared" si="25"/>
        <v>921.87224928644105</v>
      </c>
      <c r="DF44" s="124" t="s">
        <v>29</v>
      </c>
      <c r="DG44" s="124" t="s">
        <v>29</v>
      </c>
      <c r="DH44" s="277">
        <f t="shared" si="26"/>
        <v>921.87224928644105</v>
      </c>
      <c r="DI44" s="124" t="s">
        <v>29</v>
      </c>
      <c r="DJ44" s="124" t="s">
        <v>29</v>
      </c>
      <c r="DK44" s="277">
        <f t="shared" si="27"/>
        <v>921.87224928644105</v>
      </c>
      <c r="DL44" s="124" t="s">
        <v>29</v>
      </c>
      <c r="DM44" s="124" t="s">
        <v>29</v>
      </c>
      <c r="DN44" s="277">
        <f t="shared" si="28"/>
        <v>921.87224928644105</v>
      </c>
      <c r="DO44" s="124" t="s">
        <v>29</v>
      </c>
      <c r="DP44" s="124" t="s">
        <v>29</v>
      </c>
      <c r="DQ44" s="277">
        <f t="shared" si="29"/>
        <v>921.87224928644105</v>
      </c>
      <c r="DR44" s="124" t="s">
        <v>29</v>
      </c>
      <c r="DS44" s="124" t="s">
        <v>29</v>
      </c>
      <c r="DT44" s="277">
        <f t="shared" si="30"/>
        <v>921.87224928644105</v>
      </c>
      <c r="DU44" s="124" t="s">
        <v>29</v>
      </c>
      <c r="DV44" s="124" t="s">
        <v>29</v>
      </c>
      <c r="DW44" s="277">
        <f t="shared" si="31"/>
        <v>921.87224928644105</v>
      </c>
      <c r="DX44" s="124" t="s">
        <v>29</v>
      </c>
      <c r="DY44" s="124" t="s">
        <v>29</v>
      </c>
      <c r="DZ44" s="277">
        <f t="shared" si="32"/>
        <v>921.87224928644105</v>
      </c>
      <c r="EA44" s="124" t="s">
        <v>29</v>
      </c>
      <c r="EB44" s="124" t="s">
        <v>29</v>
      </c>
      <c r="EC44" s="277">
        <f t="shared" si="33"/>
        <v>921.87224928644105</v>
      </c>
      <c r="ED44" s="124" t="s">
        <v>29</v>
      </c>
      <c r="EE44" s="124" t="s">
        <v>29</v>
      </c>
      <c r="EF44" s="277">
        <f t="shared" si="34"/>
        <v>921.87224928644105</v>
      </c>
      <c r="EG44" s="124" t="s">
        <v>29</v>
      </c>
      <c r="EH44" s="124" t="s">
        <v>29</v>
      </c>
      <c r="EI44" s="277">
        <f t="shared" si="35"/>
        <v>921.87224928644105</v>
      </c>
      <c r="EJ44" s="124" t="s">
        <v>29</v>
      </c>
      <c r="EK44" s="124" t="s">
        <v>29</v>
      </c>
      <c r="EL44" s="277">
        <f t="shared" si="36"/>
        <v>921.87224928644105</v>
      </c>
      <c r="EM44" s="124" t="s">
        <v>29</v>
      </c>
      <c r="EN44" s="124" t="s">
        <v>29</v>
      </c>
      <c r="EO44" s="277">
        <f t="shared" si="37"/>
        <v>921.87224928644105</v>
      </c>
      <c r="EP44" s="124" t="s">
        <v>29</v>
      </c>
      <c r="EQ44" s="124" t="s">
        <v>29</v>
      </c>
    </row>
    <row r="45" spans="1:149">
      <c r="A45" s="125" t="s">
        <v>419</v>
      </c>
      <c r="B45" s="126" t="s">
        <v>420</v>
      </c>
      <c r="C45" s="122" t="s">
        <v>349</v>
      </c>
      <c r="D45" s="124">
        <f>[7]Расчет_тарифа_стр.1_3!D24</f>
        <v>0</v>
      </c>
      <c r="E45" s="124" t="s">
        <v>29</v>
      </c>
      <c r="F45" s="124" t="s">
        <v>29</v>
      </c>
      <c r="G45" s="124">
        <f>[7]Расчет_тарифа_стр.1_3!G24</f>
        <v>0</v>
      </c>
      <c r="H45" s="124">
        <f>[7]Расчет_тарифа_стр.1_3!H24</f>
        <v>0</v>
      </c>
      <c r="I45" s="124" t="s">
        <v>29</v>
      </c>
      <c r="J45" s="124" t="s">
        <v>29</v>
      </c>
      <c r="K45" s="124">
        <f>[7]Расчет_тарифа_стр.1_3!K24</f>
        <v>0</v>
      </c>
      <c r="L45" s="124">
        <v>15092</v>
      </c>
      <c r="M45" s="124" t="s">
        <v>29</v>
      </c>
      <c r="N45" s="124" t="s">
        <v>29</v>
      </c>
      <c r="O45" s="124">
        <v>0</v>
      </c>
      <c r="P45" s="124">
        <f t="shared" si="50"/>
        <v>-15092</v>
      </c>
      <c r="Q45" s="124">
        <v>14167.2868954971</v>
      </c>
      <c r="R45" s="124">
        <v>14167.2868954971</v>
      </c>
      <c r="S45" s="124">
        <v>14167.2868954971</v>
      </c>
      <c r="T45" s="124">
        <v>9358.3954640480697</v>
      </c>
      <c r="U45" s="124">
        <f t="shared" si="51"/>
        <v>-4808.8914314490303</v>
      </c>
      <c r="V45" s="124">
        <v>13840.175083207399</v>
      </c>
      <c r="W45" s="124" t="s">
        <v>29</v>
      </c>
      <c r="X45" s="124" t="s">
        <v>29</v>
      </c>
      <c r="Y45" s="124">
        <v>13480.5982138237</v>
      </c>
      <c r="Z45" s="124" t="s">
        <v>29</v>
      </c>
      <c r="AA45" s="124" t="s">
        <v>29</v>
      </c>
      <c r="AB45" s="124">
        <v>13085.334208862299</v>
      </c>
      <c r="AC45" s="124" t="s">
        <v>29</v>
      </c>
      <c r="AD45" s="124" t="s">
        <v>29</v>
      </c>
      <c r="AE45" s="124">
        <f t="shared" si="4"/>
        <v>13085.334208862299</v>
      </c>
      <c r="AF45" s="124" t="s">
        <v>29</v>
      </c>
      <c r="AG45" s="124" t="s">
        <v>29</v>
      </c>
      <c r="AH45" s="124">
        <f t="shared" si="5"/>
        <v>13085.334208862299</v>
      </c>
      <c r="AI45" s="124" t="s">
        <v>29</v>
      </c>
      <c r="AJ45" s="124" t="s">
        <v>29</v>
      </c>
      <c r="AK45" s="124">
        <f t="shared" si="6"/>
        <v>13085.334208862299</v>
      </c>
      <c r="AL45" s="124" t="s">
        <v>29</v>
      </c>
      <c r="AM45" s="124" t="s">
        <v>29</v>
      </c>
      <c r="AN45" s="124">
        <f t="shared" si="7"/>
        <v>13085.334208862299</v>
      </c>
      <c r="AO45" s="124" t="s">
        <v>29</v>
      </c>
      <c r="AP45" s="124" t="s">
        <v>29</v>
      </c>
      <c r="AQ45" s="124">
        <f t="shared" si="8"/>
        <v>13085.334208862299</v>
      </c>
      <c r="AR45" s="124" t="s">
        <v>29</v>
      </c>
      <c r="AS45" s="124" t="s">
        <v>29</v>
      </c>
      <c r="AT45" s="124">
        <f t="shared" si="9"/>
        <v>13085.334208862299</v>
      </c>
      <c r="AU45" s="124" t="s">
        <v>29</v>
      </c>
      <c r="AV45" s="124" t="s">
        <v>29</v>
      </c>
      <c r="AW45" s="124">
        <f t="shared" si="10"/>
        <v>13085.334208862299</v>
      </c>
      <c r="AX45" s="124" t="s">
        <v>29</v>
      </c>
      <c r="AY45" s="124" t="s">
        <v>29</v>
      </c>
      <c r="AZ45" s="124">
        <f t="shared" si="11"/>
        <v>13085.334208862299</v>
      </c>
      <c r="BA45" s="124" t="s">
        <v>29</v>
      </c>
      <c r="BB45" s="124" t="s">
        <v>29</v>
      </c>
      <c r="BC45" s="124">
        <f t="shared" si="12"/>
        <v>13085.334208862299</v>
      </c>
      <c r="BD45" s="124" t="s">
        <v>29</v>
      </c>
      <c r="BE45" s="124" t="s">
        <v>29</v>
      </c>
      <c r="BF45" s="124">
        <f t="shared" si="13"/>
        <v>13085.334208862299</v>
      </c>
      <c r="BG45" s="124" t="s">
        <v>29</v>
      </c>
      <c r="BH45" s="124" t="s">
        <v>29</v>
      </c>
      <c r="BI45" s="124">
        <f t="shared" si="14"/>
        <v>13085.334208862299</v>
      </c>
      <c r="BJ45" s="124" t="s">
        <v>29</v>
      </c>
      <c r="BK45" s="124" t="s">
        <v>29</v>
      </c>
      <c r="BL45" s="124">
        <f t="shared" si="15"/>
        <v>13085.334208862299</v>
      </c>
      <c r="BM45" s="124" t="s">
        <v>29</v>
      </c>
      <c r="BN45" s="124" t="s">
        <v>29</v>
      </c>
      <c r="BO45" s="124">
        <f t="shared" si="16"/>
        <v>13085.334208862299</v>
      </c>
      <c r="BP45" s="124" t="s">
        <v>29</v>
      </c>
      <c r="BQ45" s="124" t="s">
        <v>29</v>
      </c>
      <c r="BR45" s="124">
        <f t="shared" si="17"/>
        <v>13085.334208862299</v>
      </c>
      <c r="BS45" s="124" t="s">
        <v>29</v>
      </c>
      <c r="BT45" s="124" t="s">
        <v>29</v>
      </c>
      <c r="BU45" s="124">
        <f t="shared" si="18"/>
        <v>13085.334208862299</v>
      </c>
      <c r="BV45" s="124" t="s">
        <v>29</v>
      </c>
      <c r="BW45" s="124" t="s">
        <v>29</v>
      </c>
      <c r="BX45" s="276">
        <f>[7]Расчет_тарифа_стр.1_3!AF24</f>
        <v>0</v>
      </c>
      <c r="BY45" s="277" t="str">
        <f>[7]Расчет_тарифа_стр.1_3!AG24</f>
        <v>х</v>
      </c>
      <c r="BZ45" s="277" t="str">
        <f>[7]Расчет_тарифа_стр.1_3!AH24</f>
        <v>х</v>
      </c>
      <c r="CA45" s="277">
        <f>[7]Расчет_тарифа_стр.1_3!AI24</f>
        <v>0</v>
      </c>
      <c r="CB45" s="277">
        <f>[7]Расчет_тарифа_стр.1_3!AJ24</f>
        <v>0</v>
      </c>
      <c r="CC45" s="277" t="str">
        <f>[7]Расчет_тарифа_стр.1_3!AK24</f>
        <v>х</v>
      </c>
      <c r="CD45" s="277" t="str">
        <f>[7]Расчет_тарифа_стр.1_3!AL24</f>
        <v>х</v>
      </c>
      <c r="CE45" s="277">
        <f>[7]Расчет_тарифа_стр.1_3!AM24</f>
        <v>0</v>
      </c>
      <c r="CF45" s="277">
        <v>3007</v>
      </c>
      <c r="CG45" s="124" t="s">
        <v>29</v>
      </c>
      <c r="CH45" s="124" t="s">
        <v>29</v>
      </c>
      <c r="CI45" s="124">
        <v>0</v>
      </c>
      <c r="CJ45" s="277">
        <f t="shared" si="52"/>
        <v>-3007</v>
      </c>
      <c r="CK45" s="277">
        <v>2983.2839233469899</v>
      </c>
      <c r="CL45" s="124" t="s">
        <v>29</v>
      </c>
      <c r="CM45" s="124" t="s">
        <v>29</v>
      </c>
      <c r="CN45" s="124">
        <v>6488.5653259519304</v>
      </c>
      <c r="CO45" s="124">
        <f t="shared" si="53"/>
        <v>3505.2814026049405</v>
      </c>
      <c r="CP45" s="277">
        <v>2914.4021806436199</v>
      </c>
      <c r="CQ45" s="124" t="s">
        <v>29</v>
      </c>
      <c r="CR45" s="124" t="s">
        <v>29</v>
      </c>
      <c r="CS45" s="277">
        <v>2838.6840913896499</v>
      </c>
      <c r="CT45" s="124" t="s">
        <v>29</v>
      </c>
      <c r="CU45" s="124" t="s">
        <v>29</v>
      </c>
      <c r="CV45" s="277">
        <v>2755.4511647059899</v>
      </c>
      <c r="CW45" s="124" t="s">
        <v>29</v>
      </c>
      <c r="CX45" s="124" t="s">
        <v>29</v>
      </c>
      <c r="CY45" s="277">
        <f t="shared" si="23"/>
        <v>2755.4511647059899</v>
      </c>
      <c r="CZ45" s="124" t="s">
        <v>29</v>
      </c>
      <c r="DA45" s="124" t="s">
        <v>29</v>
      </c>
      <c r="DB45" s="277">
        <f t="shared" si="24"/>
        <v>2755.4511647059899</v>
      </c>
      <c r="DC45" s="124" t="s">
        <v>29</v>
      </c>
      <c r="DD45" s="124" t="s">
        <v>29</v>
      </c>
      <c r="DE45" s="277">
        <f t="shared" si="25"/>
        <v>2755.4511647059899</v>
      </c>
      <c r="DF45" s="124" t="s">
        <v>29</v>
      </c>
      <c r="DG45" s="124" t="s">
        <v>29</v>
      </c>
      <c r="DH45" s="277">
        <f t="shared" si="26"/>
        <v>2755.4511647059899</v>
      </c>
      <c r="DI45" s="124" t="s">
        <v>29</v>
      </c>
      <c r="DJ45" s="124" t="s">
        <v>29</v>
      </c>
      <c r="DK45" s="277">
        <f t="shared" si="27"/>
        <v>2755.4511647059899</v>
      </c>
      <c r="DL45" s="124" t="s">
        <v>29</v>
      </c>
      <c r="DM45" s="124" t="s">
        <v>29</v>
      </c>
      <c r="DN45" s="277">
        <f t="shared" si="28"/>
        <v>2755.4511647059899</v>
      </c>
      <c r="DO45" s="124" t="s">
        <v>29</v>
      </c>
      <c r="DP45" s="124" t="s">
        <v>29</v>
      </c>
      <c r="DQ45" s="277">
        <f t="shared" si="29"/>
        <v>2755.4511647059899</v>
      </c>
      <c r="DR45" s="124" t="s">
        <v>29</v>
      </c>
      <c r="DS45" s="124" t="s">
        <v>29</v>
      </c>
      <c r="DT45" s="277">
        <f t="shared" si="30"/>
        <v>2755.4511647059899</v>
      </c>
      <c r="DU45" s="124" t="s">
        <v>29</v>
      </c>
      <c r="DV45" s="124" t="s">
        <v>29</v>
      </c>
      <c r="DW45" s="277">
        <f t="shared" si="31"/>
        <v>2755.4511647059899</v>
      </c>
      <c r="DX45" s="124" t="s">
        <v>29</v>
      </c>
      <c r="DY45" s="124" t="s">
        <v>29</v>
      </c>
      <c r="DZ45" s="277">
        <f t="shared" si="32"/>
        <v>2755.4511647059899</v>
      </c>
      <c r="EA45" s="124" t="s">
        <v>29</v>
      </c>
      <c r="EB45" s="124" t="s">
        <v>29</v>
      </c>
      <c r="EC45" s="277">
        <f t="shared" si="33"/>
        <v>2755.4511647059899</v>
      </c>
      <c r="ED45" s="124" t="s">
        <v>29</v>
      </c>
      <c r="EE45" s="124" t="s">
        <v>29</v>
      </c>
      <c r="EF45" s="277">
        <f t="shared" si="34"/>
        <v>2755.4511647059899</v>
      </c>
      <c r="EG45" s="124" t="s">
        <v>29</v>
      </c>
      <c r="EH45" s="124" t="s">
        <v>29</v>
      </c>
      <c r="EI45" s="277">
        <f t="shared" si="35"/>
        <v>2755.4511647059899</v>
      </c>
      <c r="EJ45" s="124" t="s">
        <v>29</v>
      </c>
      <c r="EK45" s="124" t="s">
        <v>29</v>
      </c>
      <c r="EL45" s="277">
        <f t="shared" si="36"/>
        <v>2755.4511647059899</v>
      </c>
      <c r="EM45" s="124" t="s">
        <v>29</v>
      </c>
      <c r="EN45" s="124" t="s">
        <v>29</v>
      </c>
      <c r="EO45" s="277">
        <f t="shared" si="37"/>
        <v>2755.4511647059899</v>
      </c>
      <c r="EP45" s="124" t="s">
        <v>29</v>
      </c>
      <c r="EQ45" s="124" t="s">
        <v>29</v>
      </c>
    </row>
    <row r="46" spans="1:149">
      <c r="A46" s="125" t="s">
        <v>22</v>
      </c>
      <c r="B46" s="126" t="s">
        <v>421</v>
      </c>
      <c r="C46" s="122" t="s">
        <v>349</v>
      </c>
      <c r="D46" s="124">
        <f>[7]Расчет_тарифа_стр.1_3!D25</f>
        <v>4118.2501660991402</v>
      </c>
      <c r="E46" s="124" t="s">
        <v>29</v>
      </c>
      <c r="F46" s="124" t="s">
        <v>29</v>
      </c>
      <c r="G46" s="124">
        <f>[7]Расчет_тарифа_стр.1_3!G25</f>
        <v>4361</v>
      </c>
      <c r="H46" s="124">
        <f>[7]Расчет_тарифа_стр.1_3!H25</f>
        <v>5889.0266019839601</v>
      </c>
      <c r="I46" s="124" t="s">
        <v>29</v>
      </c>
      <c r="J46" s="124" t="s">
        <v>29</v>
      </c>
      <c r="K46" s="124">
        <f>[7]Расчет_тарифа_стр.1_3!K25</f>
        <v>0</v>
      </c>
      <c r="L46" s="124">
        <v>12129.936601984</v>
      </c>
      <c r="M46" s="124" t="s">
        <v>29</v>
      </c>
      <c r="N46" s="124" t="s">
        <v>29</v>
      </c>
      <c r="O46" s="124">
        <v>8997.0553799999998</v>
      </c>
      <c r="P46" s="124">
        <f t="shared" si="50"/>
        <v>-3132.8812219840001</v>
      </c>
      <c r="Q46" s="124">
        <v>17903.48</v>
      </c>
      <c r="R46" s="124">
        <v>17903.48</v>
      </c>
      <c r="S46" s="124">
        <v>17903.48</v>
      </c>
      <c r="T46" s="124">
        <v>10560.505080000001</v>
      </c>
      <c r="U46" s="124">
        <f t="shared" si="51"/>
        <v>-7342.9749199999987</v>
      </c>
      <c r="V46" s="124">
        <v>18452.98</v>
      </c>
      <c r="W46" s="124" t="s">
        <v>29</v>
      </c>
      <c r="X46" s="124" t="s">
        <v>29</v>
      </c>
      <c r="Y46" s="124">
        <v>15749.31</v>
      </c>
      <c r="Z46" s="124" t="s">
        <v>29</v>
      </c>
      <c r="AA46" s="124" t="s">
        <v>29</v>
      </c>
      <c r="AB46" s="124">
        <v>15646.45</v>
      </c>
      <c r="AC46" s="124" t="s">
        <v>29</v>
      </c>
      <c r="AD46" s="124" t="s">
        <v>29</v>
      </c>
      <c r="AE46" s="124">
        <f t="shared" si="4"/>
        <v>15646.45</v>
      </c>
      <c r="AF46" s="124" t="s">
        <v>29</v>
      </c>
      <c r="AG46" s="124" t="s">
        <v>29</v>
      </c>
      <c r="AH46" s="124">
        <f t="shared" si="5"/>
        <v>15646.45</v>
      </c>
      <c r="AI46" s="124" t="s">
        <v>29</v>
      </c>
      <c r="AJ46" s="124" t="s">
        <v>29</v>
      </c>
      <c r="AK46" s="124">
        <f t="shared" si="6"/>
        <v>15646.45</v>
      </c>
      <c r="AL46" s="124" t="s">
        <v>29</v>
      </c>
      <c r="AM46" s="124" t="s">
        <v>29</v>
      </c>
      <c r="AN46" s="124">
        <f t="shared" si="7"/>
        <v>15646.45</v>
      </c>
      <c r="AO46" s="124" t="s">
        <v>29</v>
      </c>
      <c r="AP46" s="124" t="s">
        <v>29</v>
      </c>
      <c r="AQ46" s="124">
        <f t="shared" si="8"/>
        <v>15646.45</v>
      </c>
      <c r="AR46" s="124" t="s">
        <v>29</v>
      </c>
      <c r="AS46" s="124" t="s">
        <v>29</v>
      </c>
      <c r="AT46" s="124">
        <f t="shared" si="9"/>
        <v>15646.45</v>
      </c>
      <c r="AU46" s="124" t="s">
        <v>29</v>
      </c>
      <c r="AV46" s="124" t="s">
        <v>29</v>
      </c>
      <c r="AW46" s="124">
        <f t="shared" si="10"/>
        <v>15646.45</v>
      </c>
      <c r="AX46" s="124" t="s">
        <v>29</v>
      </c>
      <c r="AY46" s="124" t="s">
        <v>29</v>
      </c>
      <c r="AZ46" s="124">
        <f t="shared" si="11"/>
        <v>15646.45</v>
      </c>
      <c r="BA46" s="124" t="s">
        <v>29</v>
      </c>
      <c r="BB46" s="124" t="s">
        <v>29</v>
      </c>
      <c r="BC46" s="124">
        <f t="shared" si="12"/>
        <v>15646.45</v>
      </c>
      <c r="BD46" s="124" t="s">
        <v>29</v>
      </c>
      <c r="BE46" s="124" t="s">
        <v>29</v>
      </c>
      <c r="BF46" s="124">
        <f t="shared" si="13"/>
        <v>15646.45</v>
      </c>
      <c r="BG46" s="124" t="s">
        <v>29</v>
      </c>
      <c r="BH46" s="124" t="s">
        <v>29</v>
      </c>
      <c r="BI46" s="124">
        <f t="shared" si="14"/>
        <v>15646.45</v>
      </c>
      <c r="BJ46" s="124" t="s">
        <v>29</v>
      </c>
      <c r="BK46" s="124" t="s">
        <v>29</v>
      </c>
      <c r="BL46" s="124">
        <f t="shared" si="15"/>
        <v>15646.45</v>
      </c>
      <c r="BM46" s="124" t="s">
        <v>29</v>
      </c>
      <c r="BN46" s="124" t="s">
        <v>29</v>
      </c>
      <c r="BO46" s="124">
        <f t="shared" si="16"/>
        <v>15646.45</v>
      </c>
      <c r="BP46" s="124" t="s">
        <v>29</v>
      </c>
      <c r="BQ46" s="124" t="s">
        <v>29</v>
      </c>
      <c r="BR46" s="124">
        <f t="shared" si="17"/>
        <v>15646.45</v>
      </c>
      <c r="BS46" s="124" t="s">
        <v>29</v>
      </c>
      <c r="BT46" s="124" t="s">
        <v>29</v>
      </c>
      <c r="BU46" s="124">
        <f t="shared" si="18"/>
        <v>15646.45</v>
      </c>
      <c r="BV46" s="124" t="s">
        <v>29</v>
      </c>
      <c r="BW46" s="124" t="s">
        <v>29</v>
      </c>
      <c r="BX46" s="276">
        <f>[7]Расчет_тарифа_стр.1_3!AF25</f>
        <v>8441.5870002688898</v>
      </c>
      <c r="BY46" s="277" t="str">
        <f>[7]Расчет_тарифа_стр.1_3!AG25</f>
        <v>х</v>
      </c>
      <c r="BZ46" s="277" t="str">
        <f>[7]Расчет_тарифа_стр.1_3!AH25</f>
        <v>х</v>
      </c>
      <c r="CA46" s="277">
        <f>[7]Расчет_тарифа_стр.1_3!AI25</f>
        <v>1914</v>
      </c>
      <c r="CB46" s="277">
        <f>[7]Расчет_тарифа_стр.1_3!AJ25</f>
        <v>9789.3507026438601</v>
      </c>
      <c r="CC46" s="277" t="str">
        <f>[7]Расчет_тарифа_стр.1_3!AK25</f>
        <v>х</v>
      </c>
      <c r="CD46" s="277" t="str">
        <f>[7]Расчет_тарифа_стр.1_3!AL25</f>
        <v>х</v>
      </c>
      <c r="CE46" s="277">
        <f>[7]Расчет_тарифа_стр.1_3!AM25</f>
        <v>0</v>
      </c>
      <c r="CF46" s="277">
        <v>9789.6769124606599</v>
      </c>
      <c r="CG46" s="124" t="s">
        <v>29</v>
      </c>
      <c r="CH46" s="124" t="s">
        <v>29</v>
      </c>
      <c r="CI46" s="124">
        <v>5877.6347800000003</v>
      </c>
      <c r="CJ46" s="277">
        <f t="shared" si="52"/>
        <v>-3912.0421324606596</v>
      </c>
      <c r="CK46" s="277">
        <v>10815.81</v>
      </c>
      <c r="CL46" s="124" t="s">
        <v>29</v>
      </c>
      <c r="CM46" s="124" t="s">
        <v>29</v>
      </c>
      <c r="CN46" s="124">
        <v>7843.8492200000001</v>
      </c>
      <c r="CO46" s="124">
        <f t="shared" si="53"/>
        <v>-2971.9607799999994</v>
      </c>
      <c r="CP46" s="277">
        <v>7179.04</v>
      </c>
      <c r="CQ46" s="124" t="s">
        <v>29</v>
      </c>
      <c r="CR46" s="124" t="s">
        <v>29</v>
      </c>
      <c r="CS46" s="277">
        <v>7941.68</v>
      </c>
      <c r="CT46" s="124" t="s">
        <v>29</v>
      </c>
      <c r="CU46" s="124" t="s">
        <v>29</v>
      </c>
      <c r="CV46" s="277">
        <v>8834.16</v>
      </c>
      <c r="CW46" s="124" t="s">
        <v>29</v>
      </c>
      <c r="CX46" s="124" t="s">
        <v>29</v>
      </c>
      <c r="CY46" s="277">
        <f t="shared" si="23"/>
        <v>8834.16</v>
      </c>
      <c r="CZ46" s="124" t="s">
        <v>29</v>
      </c>
      <c r="DA46" s="124" t="s">
        <v>29</v>
      </c>
      <c r="DB46" s="277">
        <f t="shared" si="24"/>
        <v>8834.16</v>
      </c>
      <c r="DC46" s="124" t="s">
        <v>29</v>
      </c>
      <c r="DD46" s="124" t="s">
        <v>29</v>
      </c>
      <c r="DE46" s="277">
        <f t="shared" si="25"/>
        <v>8834.16</v>
      </c>
      <c r="DF46" s="124" t="s">
        <v>29</v>
      </c>
      <c r="DG46" s="124" t="s">
        <v>29</v>
      </c>
      <c r="DH46" s="277">
        <f t="shared" si="26"/>
        <v>8834.16</v>
      </c>
      <c r="DI46" s="124" t="s">
        <v>29</v>
      </c>
      <c r="DJ46" s="124" t="s">
        <v>29</v>
      </c>
      <c r="DK46" s="277">
        <f t="shared" si="27"/>
        <v>8834.16</v>
      </c>
      <c r="DL46" s="124" t="s">
        <v>29</v>
      </c>
      <c r="DM46" s="124" t="s">
        <v>29</v>
      </c>
      <c r="DN46" s="277">
        <f t="shared" si="28"/>
        <v>8834.16</v>
      </c>
      <c r="DO46" s="124" t="s">
        <v>29</v>
      </c>
      <c r="DP46" s="124" t="s">
        <v>29</v>
      </c>
      <c r="DQ46" s="277">
        <f t="shared" si="29"/>
        <v>8834.16</v>
      </c>
      <c r="DR46" s="124" t="s">
        <v>29</v>
      </c>
      <c r="DS46" s="124" t="s">
        <v>29</v>
      </c>
      <c r="DT46" s="277">
        <f t="shared" si="30"/>
        <v>8834.16</v>
      </c>
      <c r="DU46" s="124" t="s">
        <v>29</v>
      </c>
      <c r="DV46" s="124" t="s">
        <v>29</v>
      </c>
      <c r="DW46" s="277">
        <f t="shared" si="31"/>
        <v>8834.16</v>
      </c>
      <c r="DX46" s="124" t="s">
        <v>29</v>
      </c>
      <c r="DY46" s="124" t="s">
        <v>29</v>
      </c>
      <c r="DZ46" s="277">
        <f t="shared" si="32"/>
        <v>8834.16</v>
      </c>
      <c r="EA46" s="124" t="s">
        <v>29</v>
      </c>
      <c r="EB46" s="124" t="s">
        <v>29</v>
      </c>
      <c r="EC46" s="277">
        <f t="shared" si="33"/>
        <v>8834.16</v>
      </c>
      <c r="ED46" s="124" t="s">
        <v>29</v>
      </c>
      <c r="EE46" s="124" t="s">
        <v>29</v>
      </c>
      <c r="EF46" s="277">
        <f t="shared" si="34"/>
        <v>8834.16</v>
      </c>
      <c r="EG46" s="124" t="s">
        <v>29</v>
      </c>
      <c r="EH46" s="124" t="s">
        <v>29</v>
      </c>
      <c r="EI46" s="277">
        <f t="shared" si="35"/>
        <v>8834.16</v>
      </c>
      <c r="EJ46" s="124" t="s">
        <v>29</v>
      </c>
      <c r="EK46" s="124" t="s">
        <v>29</v>
      </c>
      <c r="EL46" s="277">
        <f t="shared" si="36"/>
        <v>8834.16</v>
      </c>
      <c r="EM46" s="124" t="s">
        <v>29</v>
      </c>
      <c r="EN46" s="124" t="s">
        <v>29</v>
      </c>
      <c r="EO46" s="277">
        <f t="shared" si="37"/>
        <v>8834.16</v>
      </c>
      <c r="EP46" s="124" t="s">
        <v>29</v>
      </c>
      <c r="EQ46" s="124" t="s">
        <v>29</v>
      </c>
      <c r="ES46" s="281"/>
    </row>
    <row r="47" spans="1:149">
      <c r="A47" s="125" t="s">
        <v>315</v>
      </c>
      <c r="B47" s="126" t="s">
        <v>422</v>
      </c>
      <c r="C47" s="122" t="s">
        <v>349</v>
      </c>
      <c r="D47" s="124">
        <f>[7]Расчет_тарифа_стр.1_3!D26</f>
        <v>866.48410865198605</v>
      </c>
      <c r="E47" s="124" t="s">
        <v>29</v>
      </c>
      <c r="F47" s="124" t="s">
        <v>29</v>
      </c>
      <c r="G47" s="124">
        <f>[7]Расчет_тарифа_стр.1_3!G26</f>
        <v>3953</v>
      </c>
      <c r="H47" s="124">
        <f>[7]Расчет_тарифа_стр.1_3!H26</f>
        <v>930.603932692233</v>
      </c>
      <c r="I47" s="124" t="s">
        <v>29</v>
      </c>
      <c r="J47" s="124" t="s">
        <v>29</v>
      </c>
      <c r="K47" s="124">
        <f>[7]Расчет_тарифа_стр.1_3!K26</f>
        <v>0</v>
      </c>
      <c r="L47" s="124">
        <f t="shared" ref="L47:T47" si="67">L48+L49</f>
        <v>974.33744735817004</v>
      </c>
      <c r="M47" s="124" t="s">
        <v>29</v>
      </c>
      <c r="N47" s="124" t="s">
        <v>29</v>
      </c>
      <c r="O47" s="124">
        <f t="shared" si="67"/>
        <v>1192.9658281250299</v>
      </c>
      <c r="P47" s="124">
        <f t="shared" si="50"/>
        <v>218.62838076685989</v>
      </c>
      <c r="Q47" s="124">
        <f t="shared" si="67"/>
        <v>3510.4854395254802</v>
      </c>
      <c r="R47" s="124">
        <f t="shared" si="67"/>
        <v>3511.4854395254802</v>
      </c>
      <c r="S47" s="124">
        <f t="shared" si="67"/>
        <v>3512.4854395254802</v>
      </c>
      <c r="T47" s="124">
        <f t="shared" si="67"/>
        <v>7655.1914129619599</v>
      </c>
      <c r="U47" s="124">
        <f t="shared" si="51"/>
        <v>4144.7059734364793</v>
      </c>
      <c r="V47" s="124">
        <f>V48+V49</f>
        <v>9535.2815281120693</v>
      </c>
      <c r="W47" s="124" t="s">
        <v>29</v>
      </c>
      <c r="X47" s="124" t="s">
        <v>29</v>
      </c>
      <c r="Y47" s="124">
        <f>Y48+Y49</f>
        <v>13769.27611161481</v>
      </c>
      <c r="Z47" s="124" t="s">
        <v>29</v>
      </c>
      <c r="AA47" s="124" t="s">
        <v>29</v>
      </c>
      <c r="AB47" s="124">
        <f>AB48+AB49</f>
        <v>15026.768079565911</v>
      </c>
      <c r="AC47" s="124" t="s">
        <v>29</v>
      </c>
      <c r="AD47" s="124" t="s">
        <v>29</v>
      </c>
      <c r="AE47" s="124">
        <f t="shared" si="4"/>
        <v>15026.768079565911</v>
      </c>
      <c r="AF47" s="124" t="s">
        <v>29</v>
      </c>
      <c r="AG47" s="124" t="s">
        <v>29</v>
      </c>
      <c r="AH47" s="124">
        <f t="shared" si="5"/>
        <v>15026.768079565911</v>
      </c>
      <c r="AI47" s="124" t="s">
        <v>29</v>
      </c>
      <c r="AJ47" s="124" t="s">
        <v>29</v>
      </c>
      <c r="AK47" s="124">
        <f t="shared" si="6"/>
        <v>15026.768079565911</v>
      </c>
      <c r="AL47" s="124" t="s">
        <v>29</v>
      </c>
      <c r="AM47" s="124" t="s">
        <v>29</v>
      </c>
      <c r="AN47" s="124">
        <f t="shared" si="7"/>
        <v>15026.768079565911</v>
      </c>
      <c r="AO47" s="124" t="s">
        <v>29</v>
      </c>
      <c r="AP47" s="124" t="s">
        <v>29</v>
      </c>
      <c r="AQ47" s="124">
        <f t="shared" si="8"/>
        <v>15026.768079565911</v>
      </c>
      <c r="AR47" s="124" t="s">
        <v>29</v>
      </c>
      <c r="AS47" s="124" t="s">
        <v>29</v>
      </c>
      <c r="AT47" s="124">
        <f t="shared" si="9"/>
        <v>15026.768079565911</v>
      </c>
      <c r="AU47" s="124" t="s">
        <v>29</v>
      </c>
      <c r="AV47" s="124" t="s">
        <v>29</v>
      </c>
      <c r="AW47" s="124">
        <f t="shared" si="10"/>
        <v>15026.768079565911</v>
      </c>
      <c r="AX47" s="124" t="s">
        <v>29</v>
      </c>
      <c r="AY47" s="124" t="s">
        <v>29</v>
      </c>
      <c r="AZ47" s="124">
        <f t="shared" si="11"/>
        <v>15026.768079565911</v>
      </c>
      <c r="BA47" s="124" t="s">
        <v>29</v>
      </c>
      <c r="BB47" s="124" t="s">
        <v>29</v>
      </c>
      <c r="BC47" s="124">
        <f t="shared" si="12"/>
        <v>15026.768079565911</v>
      </c>
      <c r="BD47" s="124" t="s">
        <v>29</v>
      </c>
      <c r="BE47" s="124" t="s">
        <v>29</v>
      </c>
      <c r="BF47" s="124">
        <f t="shared" si="13"/>
        <v>15026.768079565911</v>
      </c>
      <c r="BG47" s="124" t="s">
        <v>29</v>
      </c>
      <c r="BH47" s="124" t="s">
        <v>29</v>
      </c>
      <c r="BI47" s="124">
        <f t="shared" si="14"/>
        <v>15026.768079565911</v>
      </c>
      <c r="BJ47" s="124" t="s">
        <v>29</v>
      </c>
      <c r="BK47" s="124" t="s">
        <v>29</v>
      </c>
      <c r="BL47" s="124">
        <f t="shared" si="15"/>
        <v>15026.768079565911</v>
      </c>
      <c r="BM47" s="124" t="s">
        <v>29</v>
      </c>
      <c r="BN47" s="124" t="s">
        <v>29</v>
      </c>
      <c r="BO47" s="124">
        <f t="shared" si="16"/>
        <v>15026.768079565911</v>
      </c>
      <c r="BP47" s="124" t="s">
        <v>29</v>
      </c>
      <c r="BQ47" s="124" t="s">
        <v>29</v>
      </c>
      <c r="BR47" s="124">
        <f t="shared" si="17"/>
        <v>15026.768079565911</v>
      </c>
      <c r="BS47" s="124" t="s">
        <v>29</v>
      </c>
      <c r="BT47" s="124" t="s">
        <v>29</v>
      </c>
      <c r="BU47" s="124">
        <f t="shared" si="18"/>
        <v>15026.768079565911</v>
      </c>
      <c r="BV47" s="124" t="s">
        <v>29</v>
      </c>
      <c r="BW47" s="124" t="s">
        <v>29</v>
      </c>
      <c r="BX47" s="276">
        <f>[7]Расчет_тарифа_стр.1_3!AF26</f>
        <v>1431.3068102603299</v>
      </c>
      <c r="BY47" s="277" t="str">
        <f>[7]Расчет_тарифа_стр.1_3!AG26</f>
        <v>х</v>
      </c>
      <c r="BZ47" s="277" t="str">
        <f>[7]Расчет_тарифа_стр.1_3!AH26</f>
        <v>х</v>
      </c>
      <c r="CA47" s="277">
        <f>[7]Расчет_тарифа_стр.1_3!AI26</f>
        <v>-27202</v>
      </c>
      <c r="CB47" s="277">
        <f>[7]Расчет_тарифа_стр.1_3!AJ26</f>
        <v>1710.4116382611001</v>
      </c>
      <c r="CC47" s="277" t="str">
        <f>[7]Расчет_тарифа_стр.1_3!AK26</f>
        <v>х</v>
      </c>
      <c r="CD47" s="277" t="str">
        <f>[7]Расчет_тарифа_стр.1_3!AL26</f>
        <v>х</v>
      </c>
      <c r="CE47" s="277">
        <f>[7]Расчет_тарифа_стр.1_3!AM26</f>
        <v>0</v>
      </c>
      <c r="CF47" s="124">
        <f t="shared" ref="CF47:CK47" si="68">CF48+CF49</f>
        <v>1790.8000226418301</v>
      </c>
      <c r="CG47" s="124" t="s">
        <v>29</v>
      </c>
      <c r="CH47" s="124" t="s">
        <v>29</v>
      </c>
      <c r="CI47" s="124">
        <f t="shared" si="68"/>
        <v>-3633.6096986305301</v>
      </c>
      <c r="CJ47" s="124">
        <f t="shared" si="52"/>
        <v>-5424.40972127236</v>
      </c>
      <c r="CK47" s="124">
        <f t="shared" si="68"/>
        <v>3612.71897907128</v>
      </c>
      <c r="CL47" s="124" t="s">
        <v>29</v>
      </c>
      <c r="CM47" s="124" t="s">
        <v>29</v>
      </c>
      <c r="CN47" s="124">
        <f t="shared" ref="CN47:CS47" si="69">CN48+CN49</f>
        <v>5463.5918070582302</v>
      </c>
      <c r="CO47" s="124">
        <f t="shared" si="53"/>
        <v>1850.8728279869501</v>
      </c>
      <c r="CP47" s="124">
        <f t="shared" si="69"/>
        <v>7871.44571026212</v>
      </c>
      <c r="CQ47" s="124" t="s">
        <v>29</v>
      </c>
      <c r="CR47" s="124" t="s">
        <v>29</v>
      </c>
      <c r="CS47" s="124">
        <f t="shared" si="69"/>
        <v>10883.13326907072</v>
      </c>
      <c r="CT47" s="124" t="s">
        <v>29</v>
      </c>
      <c r="CU47" s="124" t="s">
        <v>29</v>
      </c>
      <c r="CV47" s="124">
        <f>CV48+CV49</f>
        <v>11820.528634889979</v>
      </c>
      <c r="CW47" s="124" t="s">
        <v>29</v>
      </c>
      <c r="CX47" s="124" t="s">
        <v>29</v>
      </c>
      <c r="CY47" s="277">
        <f t="shared" si="23"/>
        <v>11820.528634889979</v>
      </c>
      <c r="CZ47" s="124" t="s">
        <v>29</v>
      </c>
      <c r="DA47" s="124" t="s">
        <v>29</v>
      </c>
      <c r="DB47" s="277">
        <f t="shared" si="24"/>
        <v>11820.528634889979</v>
      </c>
      <c r="DC47" s="124" t="s">
        <v>29</v>
      </c>
      <c r="DD47" s="124" t="s">
        <v>29</v>
      </c>
      <c r="DE47" s="277">
        <f t="shared" si="25"/>
        <v>11820.528634889979</v>
      </c>
      <c r="DF47" s="124" t="s">
        <v>29</v>
      </c>
      <c r="DG47" s="124" t="s">
        <v>29</v>
      </c>
      <c r="DH47" s="277">
        <f t="shared" si="26"/>
        <v>11820.528634889979</v>
      </c>
      <c r="DI47" s="124" t="s">
        <v>29</v>
      </c>
      <c r="DJ47" s="124" t="s">
        <v>29</v>
      </c>
      <c r="DK47" s="277">
        <f t="shared" si="27"/>
        <v>11820.528634889979</v>
      </c>
      <c r="DL47" s="124" t="s">
        <v>29</v>
      </c>
      <c r="DM47" s="124" t="s">
        <v>29</v>
      </c>
      <c r="DN47" s="277">
        <f t="shared" si="28"/>
        <v>11820.528634889979</v>
      </c>
      <c r="DO47" s="124" t="s">
        <v>29</v>
      </c>
      <c r="DP47" s="124" t="s">
        <v>29</v>
      </c>
      <c r="DQ47" s="277">
        <f t="shared" si="29"/>
        <v>11820.528634889979</v>
      </c>
      <c r="DR47" s="124" t="s">
        <v>29</v>
      </c>
      <c r="DS47" s="124" t="s">
        <v>29</v>
      </c>
      <c r="DT47" s="277">
        <f t="shared" si="30"/>
        <v>11820.528634889979</v>
      </c>
      <c r="DU47" s="124" t="s">
        <v>29</v>
      </c>
      <c r="DV47" s="124" t="s">
        <v>29</v>
      </c>
      <c r="DW47" s="277">
        <f t="shared" si="31"/>
        <v>11820.528634889979</v>
      </c>
      <c r="DX47" s="124" t="s">
        <v>29</v>
      </c>
      <c r="DY47" s="124" t="s">
        <v>29</v>
      </c>
      <c r="DZ47" s="277">
        <f t="shared" si="32"/>
        <v>11820.528634889979</v>
      </c>
      <c r="EA47" s="124" t="s">
        <v>29</v>
      </c>
      <c r="EB47" s="124" t="s">
        <v>29</v>
      </c>
      <c r="EC47" s="277">
        <f t="shared" si="33"/>
        <v>11820.528634889979</v>
      </c>
      <c r="ED47" s="124" t="s">
        <v>29</v>
      </c>
      <c r="EE47" s="124" t="s">
        <v>29</v>
      </c>
      <c r="EF47" s="277">
        <f t="shared" si="34"/>
        <v>11820.528634889979</v>
      </c>
      <c r="EG47" s="124" t="s">
        <v>29</v>
      </c>
      <c r="EH47" s="124" t="s">
        <v>29</v>
      </c>
      <c r="EI47" s="277">
        <f t="shared" si="35"/>
        <v>11820.528634889979</v>
      </c>
      <c r="EJ47" s="124" t="s">
        <v>29</v>
      </c>
      <c r="EK47" s="124" t="s">
        <v>29</v>
      </c>
      <c r="EL47" s="277">
        <f t="shared" si="36"/>
        <v>11820.528634889979</v>
      </c>
      <c r="EM47" s="124" t="s">
        <v>29</v>
      </c>
      <c r="EN47" s="124" t="s">
        <v>29</v>
      </c>
      <c r="EO47" s="277">
        <f t="shared" si="37"/>
        <v>11820.528634889979</v>
      </c>
      <c r="EP47" s="124" t="s">
        <v>29</v>
      </c>
      <c r="EQ47" s="124" t="s">
        <v>29</v>
      </c>
      <c r="ES47" s="144"/>
    </row>
    <row r="48" spans="1:149">
      <c r="A48" s="125" t="s">
        <v>423</v>
      </c>
      <c r="B48" s="126" t="s">
        <v>424</v>
      </c>
      <c r="C48" s="122" t="s">
        <v>349</v>
      </c>
      <c r="D48" s="124">
        <f>[7]Расчет_тарифа_стр.1_3!D27</f>
        <v>0</v>
      </c>
      <c r="E48" s="124" t="s">
        <v>29</v>
      </c>
      <c r="F48" s="124" t="s">
        <v>29</v>
      </c>
      <c r="G48" s="124">
        <f>[7]Расчет_тарифа_стр.1_3!G27</f>
        <v>0</v>
      </c>
      <c r="H48" s="124">
        <f>[7]Расчет_тарифа_стр.1_3!H27</f>
        <v>0</v>
      </c>
      <c r="I48" s="124" t="s">
        <v>29</v>
      </c>
      <c r="J48" s="124" t="s">
        <v>29</v>
      </c>
      <c r="K48" s="124">
        <f>[7]Расчет_тарифа_стр.1_3!K27</f>
        <v>0</v>
      </c>
      <c r="L48" s="124">
        <v>0</v>
      </c>
      <c r="M48" s="124" t="s">
        <v>29</v>
      </c>
      <c r="N48" s="124" t="s">
        <v>29</v>
      </c>
      <c r="O48" s="124">
        <v>0</v>
      </c>
      <c r="P48" s="124">
        <f t="shared" si="50"/>
        <v>0</v>
      </c>
      <c r="Q48" s="124">
        <v>2490.35413214148</v>
      </c>
      <c r="R48" s="124">
        <v>2491.35413214148</v>
      </c>
      <c r="S48" s="124">
        <v>2492.35413214148</v>
      </c>
      <c r="T48" s="124">
        <v>1940.89969296196</v>
      </c>
      <c r="U48" s="124">
        <f t="shared" si="51"/>
        <v>-549.45443917952002</v>
      </c>
      <c r="V48" s="124">
        <v>8467.2040492810193</v>
      </c>
      <c r="W48" s="124" t="s">
        <v>29</v>
      </c>
      <c r="X48" s="124" t="s">
        <v>29</v>
      </c>
      <c r="Y48" s="124">
        <v>12650.9989912787</v>
      </c>
      <c r="Z48" s="124" t="s">
        <v>29</v>
      </c>
      <c r="AA48" s="124" t="s">
        <v>29</v>
      </c>
      <c r="AB48" s="124">
        <v>13855.931934574</v>
      </c>
      <c r="AC48" s="124" t="s">
        <v>29</v>
      </c>
      <c r="AD48" s="124" t="s">
        <v>29</v>
      </c>
      <c r="AE48" s="124">
        <f t="shared" si="4"/>
        <v>13855.931934574</v>
      </c>
      <c r="AF48" s="124" t="s">
        <v>29</v>
      </c>
      <c r="AG48" s="124" t="s">
        <v>29</v>
      </c>
      <c r="AH48" s="124">
        <f t="shared" si="5"/>
        <v>13855.931934574</v>
      </c>
      <c r="AI48" s="124" t="s">
        <v>29</v>
      </c>
      <c r="AJ48" s="124" t="s">
        <v>29</v>
      </c>
      <c r="AK48" s="124">
        <f t="shared" si="6"/>
        <v>13855.931934574</v>
      </c>
      <c r="AL48" s="124" t="s">
        <v>29</v>
      </c>
      <c r="AM48" s="124" t="s">
        <v>29</v>
      </c>
      <c r="AN48" s="124">
        <f t="shared" si="7"/>
        <v>13855.931934574</v>
      </c>
      <c r="AO48" s="124" t="s">
        <v>29</v>
      </c>
      <c r="AP48" s="124" t="s">
        <v>29</v>
      </c>
      <c r="AQ48" s="124">
        <f t="shared" si="8"/>
        <v>13855.931934574</v>
      </c>
      <c r="AR48" s="124" t="s">
        <v>29</v>
      </c>
      <c r="AS48" s="124" t="s">
        <v>29</v>
      </c>
      <c r="AT48" s="124">
        <f t="shared" si="9"/>
        <v>13855.931934574</v>
      </c>
      <c r="AU48" s="124" t="s">
        <v>29</v>
      </c>
      <c r="AV48" s="124" t="s">
        <v>29</v>
      </c>
      <c r="AW48" s="124">
        <f t="shared" si="10"/>
        <v>13855.931934574</v>
      </c>
      <c r="AX48" s="124" t="s">
        <v>29</v>
      </c>
      <c r="AY48" s="124" t="s">
        <v>29</v>
      </c>
      <c r="AZ48" s="124">
        <f t="shared" si="11"/>
        <v>13855.931934574</v>
      </c>
      <c r="BA48" s="124" t="s">
        <v>29</v>
      </c>
      <c r="BB48" s="124" t="s">
        <v>29</v>
      </c>
      <c r="BC48" s="124">
        <f t="shared" si="12"/>
        <v>13855.931934574</v>
      </c>
      <c r="BD48" s="124" t="s">
        <v>29</v>
      </c>
      <c r="BE48" s="124" t="s">
        <v>29</v>
      </c>
      <c r="BF48" s="124">
        <f t="shared" si="13"/>
        <v>13855.931934574</v>
      </c>
      <c r="BG48" s="124" t="s">
        <v>29</v>
      </c>
      <c r="BH48" s="124" t="s">
        <v>29</v>
      </c>
      <c r="BI48" s="124">
        <f t="shared" si="14"/>
        <v>13855.931934574</v>
      </c>
      <c r="BJ48" s="124" t="s">
        <v>29</v>
      </c>
      <c r="BK48" s="124" t="s">
        <v>29</v>
      </c>
      <c r="BL48" s="124">
        <f t="shared" si="15"/>
        <v>13855.931934574</v>
      </c>
      <c r="BM48" s="124" t="s">
        <v>29</v>
      </c>
      <c r="BN48" s="124" t="s">
        <v>29</v>
      </c>
      <c r="BO48" s="124">
        <f t="shared" si="16"/>
        <v>13855.931934574</v>
      </c>
      <c r="BP48" s="124" t="s">
        <v>29</v>
      </c>
      <c r="BQ48" s="124" t="s">
        <v>29</v>
      </c>
      <c r="BR48" s="124">
        <f t="shared" si="17"/>
        <v>13855.931934574</v>
      </c>
      <c r="BS48" s="124" t="s">
        <v>29</v>
      </c>
      <c r="BT48" s="124" t="s">
        <v>29</v>
      </c>
      <c r="BU48" s="124">
        <f t="shared" si="18"/>
        <v>13855.931934574</v>
      </c>
      <c r="BV48" s="124" t="s">
        <v>29</v>
      </c>
      <c r="BW48" s="124" t="s">
        <v>29</v>
      </c>
      <c r="BX48" s="276">
        <f>[7]Расчет_тарифа_стр.1_3!AF27</f>
        <v>0</v>
      </c>
      <c r="BY48" s="277" t="str">
        <f>[7]Расчет_тарифа_стр.1_3!AG27</f>
        <v>х</v>
      </c>
      <c r="BZ48" s="277" t="str">
        <f>[7]Расчет_тарифа_стр.1_3!AH27</f>
        <v>х</v>
      </c>
      <c r="CA48" s="277">
        <f>[7]Расчет_тарифа_стр.1_3!AI27</f>
        <v>0</v>
      </c>
      <c r="CB48" s="277">
        <f>[7]Расчет_тарифа_стр.1_3!AJ27</f>
        <v>0</v>
      </c>
      <c r="CC48" s="277" t="str">
        <f>[7]Расчет_тарифа_стр.1_3!AK27</f>
        <v>х</v>
      </c>
      <c r="CD48" s="277" t="str">
        <f>[7]Расчет_тарифа_стр.1_3!AL27</f>
        <v>х</v>
      </c>
      <c r="CE48" s="277">
        <f>[7]Расчет_тарифа_стр.1_3!AM27</f>
        <v>0</v>
      </c>
      <c r="CF48" s="277">
        <v>0</v>
      </c>
      <c r="CG48" s="124" t="s">
        <v>29</v>
      </c>
      <c r="CH48" s="124" t="s">
        <v>29</v>
      </c>
      <c r="CI48" s="124">
        <v>0</v>
      </c>
      <c r="CJ48" s="277">
        <f t="shared" si="52"/>
        <v>0</v>
      </c>
      <c r="CK48" s="277">
        <v>1737.75135536528</v>
      </c>
      <c r="CL48" s="124" t="s">
        <v>29</v>
      </c>
      <c r="CM48" s="124" t="s">
        <v>29</v>
      </c>
      <c r="CN48" s="124">
        <v>1457.09600401024</v>
      </c>
      <c r="CO48" s="124">
        <f t="shared" si="53"/>
        <v>-280.65535135504001</v>
      </c>
      <c r="CP48" s="277">
        <v>5908.3546082419398</v>
      </c>
      <c r="CQ48" s="124" t="s">
        <v>29</v>
      </c>
      <c r="CR48" s="124" t="s">
        <v>29</v>
      </c>
      <c r="CS48" s="277">
        <v>8827.7768852556001</v>
      </c>
      <c r="CT48" s="124" t="s">
        <v>29</v>
      </c>
      <c r="CU48" s="124" t="s">
        <v>29</v>
      </c>
      <c r="CV48" s="277">
        <v>9668.5705010355396</v>
      </c>
      <c r="CW48" s="124" t="s">
        <v>29</v>
      </c>
      <c r="CX48" s="124" t="s">
        <v>29</v>
      </c>
      <c r="CY48" s="277">
        <f t="shared" si="23"/>
        <v>9668.5705010355396</v>
      </c>
      <c r="CZ48" s="124" t="s">
        <v>29</v>
      </c>
      <c r="DA48" s="124" t="s">
        <v>29</v>
      </c>
      <c r="DB48" s="277">
        <f t="shared" si="24"/>
        <v>9668.5705010355396</v>
      </c>
      <c r="DC48" s="124" t="s">
        <v>29</v>
      </c>
      <c r="DD48" s="124" t="s">
        <v>29</v>
      </c>
      <c r="DE48" s="277">
        <f t="shared" si="25"/>
        <v>9668.5705010355396</v>
      </c>
      <c r="DF48" s="124" t="s">
        <v>29</v>
      </c>
      <c r="DG48" s="124" t="s">
        <v>29</v>
      </c>
      <c r="DH48" s="277">
        <f t="shared" si="26"/>
        <v>9668.5705010355396</v>
      </c>
      <c r="DI48" s="124" t="s">
        <v>29</v>
      </c>
      <c r="DJ48" s="124" t="s">
        <v>29</v>
      </c>
      <c r="DK48" s="277">
        <f t="shared" si="27"/>
        <v>9668.5705010355396</v>
      </c>
      <c r="DL48" s="124" t="s">
        <v>29</v>
      </c>
      <c r="DM48" s="124" t="s">
        <v>29</v>
      </c>
      <c r="DN48" s="277">
        <f t="shared" si="28"/>
        <v>9668.5705010355396</v>
      </c>
      <c r="DO48" s="124" t="s">
        <v>29</v>
      </c>
      <c r="DP48" s="124" t="s">
        <v>29</v>
      </c>
      <c r="DQ48" s="277">
        <f t="shared" si="29"/>
        <v>9668.5705010355396</v>
      </c>
      <c r="DR48" s="124" t="s">
        <v>29</v>
      </c>
      <c r="DS48" s="124" t="s">
        <v>29</v>
      </c>
      <c r="DT48" s="277">
        <f t="shared" si="30"/>
        <v>9668.5705010355396</v>
      </c>
      <c r="DU48" s="124" t="s">
        <v>29</v>
      </c>
      <c r="DV48" s="124" t="s">
        <v>29</v>
      </c>
      <c r="DW48" s="277">
        <f t="shared" si="31"/>
        <v>9668.5705010355396</v>
      </c>
      <c r="DX48" s="124" t="s">
        <v>29</v>
      </c>
      <c r="DY48" s="124" t="s">
        <v>29</v>
      </c>
      <c r="DZ48" s="277">
        <f t="shared" si="32"/>
        <v>9668.5705010355396</v>
      </c>
      <c r="EA48" s="124" t="s">
        <v>29</v>
      </c>
      <c r="EB48" s="124" t="s">
        <v>29</v>
      </c>
      <c r="EC48" s="277">
        <f t="shared" si="33"/>
        <v>9668.5705010355396</v>
      </c>
      <c r="ED48" s="124" t="s">
        <v>29</v>
      </c>
      <c r="EE48" s="124" t="s">
        <v>29</v>
      </c>
      <c r="EF48" s="277">
        <f t="shared" si="34"/>
        <v>9668.5705010355396</v>
      </c>
      <c r="EG48" s="124" t="s">
        <v>29</v>
      </c>
      <c r="EH48" s="124" t="s">
        <v>29</v>
      </c>
      <c r="EI48" s="277">
        <f t="shared" si="35"/>
        <v>9668.5705010355396</v>
      </c>
      <c r="EJ48" s="124" t="s">
        <v>29</v>
      </c>
      <c r="EK48" s="124" t="s">
        <v>29</v>
      </c>
      <c r="EL48" s="277">
        <f t="shared" si="36"/>
        <v>9668.5705010355396</v>
      </c>
      <c r="EM48" s="124" t="s">
        <v>29</v>
      </c>
      <c r="EN48" s="124" t="s">
        <v>29</v>
      </c>
      <c r="EO48" s="277">
        <f t="shared" si="37"/>
        <v>9668.5705010355396</v>
      </c>
      <c r="EP48" s="124" t="s">
        <v>29</v>
      </c>
      <c r="EQ48" s="124" t="s">
        <v>29</v>
      </c>
    </row>
    <row r="49" spans="1:147" ht="30">
      <c r="A49" s="125" t="s">
        <v>425</v>
      </c>
      <c r="B49" s="126" t="s">
        <v>426</v>
      </c>
      <c r="C49" s="122" t="s">
        <v>349</v>
      </c>
      <c r="D49" s="124">
        <f>[7]Расчет_тарифа_стр.1_3!D28</f>
        <v>866.48410865198605</v>
      </c>
      <c r="E49" s="124" t="s">
        <v>29</v>
      </c>
      <c r="F49" s="124" t="s">
        <v>29</v>
      </c>
      <c r="G49" s="124">
        <f>[7]Расчет_тарифа_стр.1_3!G28</f>
        <v>3953</v>
      </c>
      <c r="H49" s="124">
        <f>[7]Расчет_тарифа_стр.1_3!H28</f>
        <v>930.603932692233</v>
      </c>
      <c r="I49" s="124" t="s">
        <v>29</v>
      </c>
      <c r="J49" s="124" t="s">
        <v>29</v>
      </c>
      <c r="K49" s="124">
        <f>[7]Расчет_тарифа_стр.1_3!K28</f>
        <v>0</v>
      </c>
      <c r="L49" s="124">
        <v>974.33744735817004</v>
      </c>
      <c r="M49" s="124" t="s">
        <v>29</v>
      </c>
      <c r="N49" s="124" t="s">
        <v>29</v>
      </c>
      <c r="O49" s="124">
        <v>1192.9658281250299</v>
      </c>
      <c r="P49" s="124">
        <f t="shared" si="50"/>
        <v>218.62838076685989</v>
      </c>
      <c r="Q49" s="124">
        <v>1020.131307384</v>
      </c>
      <c r="R49" s="124">
        <v>1020.131307384</v>
      </c>
      <c r="S49" s="124">
        <v>1020.131307384</v>
      </c>
      <c r="T49" s="124">
        <v>5714.2917200000002</v>
      </c>
      <c r="U49" s="124">
        <f t="shared" si="51"/>
        <v>4694.160412616</v>
      </c>
      <c r="V49" s="124">
        <v>1068.07747883105</v>
      </c>
      <c r="W49" s="124" t="s">
        <v>29</v>
      </c>
      <c r="X49" s="124" t="s">
        <v>29</v>
      </c>
      <c r="Y49" s="124">
        <v>1118.2771203361101</v>
      </c>
      <c r="Z49" s="124" t="s">
        <v>29</v>
      </c>
      <c r="AA49" s="124" t="s">
        <v>29</v>
      </c>
      <c r="AB49" s="124">
        <v>1170.83614499191</v>
      </c>
      <c r="AC49" s="124" t="s">
        <v>29</v>
      </c>
      <c r="AD49" s="124" t="s">
        <v>29</v>
      </c>
      <c r="AE49" s="124">
        <f t="shared" si="4"/>
        <v>1170.83614499191</v>
      </c>
      <c r="AF49" s="124" t="s">
        <v>29</v>
      </c>
      <c r="AG49" s="124" t="s">
        <v>29</v>
      </c>
      <c r="AH49" s="124">
        <f t="shared" si="5"/>
        <v>1170.83614499191</v>
      </c>
      <c r="AI49" s="124" t="s">
        <v>29</v>
      </c>
      <c r="AJ49" s="124" t="s">
        <v>29</v>
      </c>
      <c r="AK49" s="124">
        <f t="shared" si="6"/>
        <v>1170.83614499191</v>
      </c>
      <c r="AL49" s="124" t="s">
        <v>29</v>
      </c>
      <c r="AM49" s="124" t="s">
        <v>29</v>
      </c>
      <c r="AN49" s="124">
        <f t="shared" si="7"/>
        <v>1170.83614499191</v>
      </c>
      <c r="AO49" s="124" t="s">
        <v>29</v>
      </c>
      <c r="AP49" s="124" t="s">
        <v>29</v>
      </c>
      <c r="AQ49" s="124">
        <f t="shared" si="8"/>
        <v>1170.83614499191</v>
      </c>
      <c r="AR49" s="124" t="s">
        <v>29</v>
      </c>
      <c r="AS49" s="124" t="s">
        <v>29</v>
      </c>
      <c r="AT49" s="124">
        <f t="shared" si="9"/>
        <v>1170.83614499191</v>
      </c>
      <c r="AU49" s="124" t="s">
        <v>29</v>
      </c>
      <c r="AV49" s="124" t="s">
        <v>29</v>
      </c>
      <c r="AW49" s="124">
        <f t="shared" si="10"/>
        <v>1170.83614499191</v>
      </c>
      <c r="AX49" s="124" t="s">
        <v>29</v>
      </c>
      <c r="AY49" s="124" t="s">
        <v>29</v>
      </c>
      <c r="AZ49" s="124">
        <f t="shared" si="11"/>
        <v>1170.83614499191</v>
      </c>
      <c r="BA49" s="124" t="s">
        <v>29</v>
      </c>
      <c r="BB49" s="124" t="s">
        <v>29</v>
      </c>
      <c r="BC49" s="124">
        <f t="shared" si="12"/>
        <v>1170.83614499191</v>
      </c>
      <c r="BD49" s="124" t="s">
        <v>29</v>
      </c>
      <c r="BE49" s="124" t="s">
        <v>29</v>
      </c>
      <c r="BF49" s="124">
        <f t="shared" si="13"/>
        <v>1170.83614499191</v>
      </c>
      <c r="BG49" s="124" t="s">
        <v>29</v>
      </c>
      <c r="BH49" s="124" t="s">
        <v>29</v>
      </c>
      <c r="BI49" s="124">
        <f t="shared" si="14"/>
        <v>1170.83614499191</v>
      </c>
      <c r="BJ49" s="124" t="s">
        <v>29</v>
      </c>
      <c r="BK49" s="124" t="s">
        <v>29</v>
      </c>
      <c r="BL49" s="124">
        <f t="shared" si="15"/>
        <v>1170.83614499191</v>
      </c>
      <c r="BM49" s="124" t="s">
        <v>29</v>
      </c>
      <c r="BN49" s="124" t="s">
        <v>29</v>
      </c>
      <c r="BO49" s="124">
        <f t="shared" si="16"/>
        <v>1170.83614499191</v>
      </c>
      <c r="BP49" s="124" t="s">
        <v>29</v>
      </c>
      <c r="BQ49" s="124" t="s">
        <v>29</v>
      </c>
      <c r="BR49" s="124">
        <f t="shared" si="17"/>
        <v>1170.83614499191</v>
      </c>
      <c r="BS49" s="124" t="s">
        <v>29</v>
      </c>
      <c r="BT49" s="124" t="s">
        <v>29</v>
      </c>
      <c r="BU49" s="124">
        <f t="shared" si="18"/>
        <v>1170.83614499191</v>
      </c>
      <c r="BV49" s="124" t="s">
        <v>29</v>
      </c>
      <c r="BW49" s="124" t="s">
        <v>29</v>
      </c>
      <c r="BX49" s="276">
        <f>[7]Расчет_тарифа_стр.1_3!AF28</f>
        <v>1431.3068102603299</v>
      </c>
      <c r="BY49" s="277" t="str">
        <f>[7]Расчет_тарифа_стр.1_3!AG28</f>
        <v>х</v>
      </c>
      <c r="BZ49" s="277" t="str">
        <f>[7]Расчет_тарифа_стр.1_3!AH28</f>
        <v>х</v>
      </c>
      <c r="CA49" s="277">
        <f>[7]Расчет_тарифа_стр.1_3!AI28</f>
        <v>-27202</v>
      </c>
      <c r="CB49" s="277">
        <f>[7]Расчет_тарифа_стр.1_3!AJ28</f>
        <v>1710.4116382611001</v>
      </c>
      <c r="CC49" s="277" t="str">
        <f>[7]Расчет_тарифа_стр.1_3!AK28</f>
        <v>х</v>
      </c>
      <c r="CD49" s="277" t="str">
        <f>[7]Расчет_тарифа_стр.1_3!AL28</f>
        <v>х</v>
      </c>
      <c r="CE49" s="277">
        <f>[7]Расчет_тарифа_стр.1_3!AM28</f>
        <v>0</v>
      </c>
      <c r="CF49" s="277">
        <v>1790.8000226418301</v>
      </c>
      <c r="CG49" s="124" t="s">
        <v>29</v>
      </c>
      <c r="CH49" s="124" t="s">
        <v>29</v>
      </c>
      <c r="CI49" s="124">
        <v>-3633.6096986305301</v>
      </c>
      <c r="CJ49" s="277">
        <f t="shared" si="52"/>
        <v>-5424.40972127236</v>
      </c>
      <c r="CK49" s="277">
        <v>1874.967623706</v>
      </c>
      <c r="CL49" s="124" t="s">
        <v>29</v>
      </c>
      <c r="CM49" s="124" t="s">
        <v>29</v>
      </c>
      <c r="CN49" s="124">
        <v>4006.4958030479902</v>
      </c>
      <c r="CO49" s="124">
        <f t="shared" si="53"/>
        <v>2131.5281793419899</v>
      </c>
      <c r="CP49" s="277">
        <v>1963.09110202018</v>
      </c>
      <c r="CQ49" s="124" t="s">
        <v>29</v>
      </c>
      <c r="CR49" s="124" t="s">
        <v>29</v>
      </c>
      <c r="CS49" s="277">
        <v>2055.3563838151199</v>
      </c>
      <c r="CT49" s="124" t="s">
        <v>29</v>
      </c>
      <c r="CU49" s="124" t="s">
        <v>29</v>
      </c>
      <c r="CV49" s="277">
        <v>2151.9581338544399</v>
      </c>
      <c r="CW49" s="124" t="s">
        <v>29</v>
      </c>
      <c r="CX49" s="124" t="s">
        <v>29</v>
      </c>
      <c r="CY49" s="277">
        <f t="shared" si="23"/>
        <v>2151.9581338544399</v>
      </c>
      <c r="CZ49" s="124" t="s">
        <v>29</v>
      </c>
      <c r="DA49" s="124" t="s">
        <v>29</v>
      </c>
      <c r="DB49" s="277">
        <f t="shared" si="24"/>
        <v>2151.9581338544399</v>
      </c>
      <c r="DC49" s="124" t="s">
        <v>29</v>
      </c>
      <c r="DD49" s="124" t="s">
        <v>29</v>
      </c>
      <c r="DE49" s="277">
        <f t="shared" si="25"/>
        <v>2151.9581338544399</v>
      </c>
      <c r="DF49" s="124" t="s">
        <v>29</v>
      </c>
      <c r="DG49" s="124" t="s">
        <v>29</v>
      </c>
      <c r="DH49" s="277">
        <f t="shared" si="26"/>
        <v>2151.9581338544399</v>
      </c>
      <c r="DI49" s="124" t="s">
        <v>29</v>
      </c>
      <c r="DJ49" s="124" t="s">
        <v>29</v>
      </c>
      <c r="DK49" s="277">
        <f t="shared" si="27"/>
        <v>2151.9581338544399</v>
      </c>
      <c r="DL49" s="124" t="s">
        <v>29</v>
      </c>
      <c r="DM49" s="124" t="s">
        <v>29</v>
      </c>
      <c r="DN49" s="277">
        <f t="shared" si="28"/>
        <v>2151.9581338544399</v>
      </c>
      <c r="DO49" s="124" t="s">
        <v>29</v>
      </c>
      <c r="DP49" s="124" t="s">
        <v>29</v>
      </c>
      <c r="DQ49" s="277">
        <f t="shared" si="29"/>
        <v>2151.9581338544399</v>
      </c>
      <c r="DR49" s="124" t="s">
        <v>29</v>
      </c>
      <c r="DS49" s="124" t="s">
        <v>29</v>
      </c>
      <c r="DT49" s="277">
        <f t="shared" si="30"/>
        <v>2151.9581338544399</v>
      </c>
      <c r="DU49" s="124" t="s">
        <v>29</v>
      </c>
      <c r="DV49" s="124" t="s">
        <v>29</v>
      </c>
      <c r="DW49" s="277">
        <f t="shared" si="31"/>
        <v>2151.9581338544399</v>
      </c>
      <c r="DX49" s="124" t="s">
        <v>29</v>
      </c>
      <c r="DY49" s="124" t="s">
        <v>29</v>
      </c>
      <c r="DZ49" s="277">
        <f t="shared" si="32"/>
        <v>2151.9581338544399</v>
      </c>
      <c r="EA49" s="124" t="s">
        <v>29</v>
      </c>
      <c r="EB49" s="124" t="s">
        <v>29</v>
      </c>
      <c r="EC49" s="277">
        <f t="shared" si="33"/>
        <v>2151.9581338544399</v>
      </c>
      <c r="ED49" s="124" t="s">
        <v>29</v>
      </c>
      <c r="EE49" s="124" t="s">
        <v>29</v>
      </c>
      <c r="EF49" s="277">
        <f t="shared" si="34"/>
        <v>2151.9581338544399</v>
      </c>
      <c r="EG49" s="124" t="s">
        <v>29</v>
      </c>
      <c r="EH49" s="124" t="s">
        <v>29</v>
      </c>
      <c r="EI49" s="277">
        <f t="shared" si="35"/>
        <v>2151.9581338544399</v>
      </c>
      <c r="EJ49" s="124" t="s">
        <v>29</v>
      </c>
      <c r="EK49" s="124" t="s">
        <v>29</v>
      </c>
      <c r="EL49" s="277">
        <f t="shared" si="36"/>
        <v>2151.9581338544399</v>
      </c>
      <c r="EM49" s="124" t="s">
        <v>29</v>
      </c>
      <c r="EN49" s="124" t="s">
        <v>29</v>
      </c>
      <c r="EO49" s="277">
        <f t="shared" si="37"/>
        <v>2151.9581338544399</v>
      </c>
      <c r="EP49" s="124" t="s">
        <v>29</v>
      </c>
      <c r="EQ49" s="124" t="s">
        <v>29</v>
      </c>
    </row>
    <row r="50" spans="1:147" ht="51.95" customHeight="1">
      <c r="A50" s="125" t="s">
        <v>316</v>
      </c>
      <c r="B50" s="126" t="s">
        <v>427</v>
      </c>
      <c r="C50" s="122" t="s">
        <v>349</v>
      </c>
      <c r="D50" s="124">
        <f>[7]Расчет_тарифа_стр.1_3!D29</f>
        <v>12267.8236328484</v>
      </c>
      <c r="E50" s="124" t="s">
        <v>29</v>
      </c>
      <c r="F50" s="124" t="s">
        <v>29</v>
      </c>
      <c r="G50" s="124">
        <f>[7]Расчет_тарифа_стр.1_3!G29</f>
        <v>0</v>
      </c>
      <c r="H50" s="124">
        <f>[7]Расчет_тарифа_стр.1_3!H29</f>
        <v>12226.5284691162</v>
      </c>
      <c r="I50" s="124" t="s">
        <v>29</v>
      </c>
      <c r="J50" s="124" t="s">
        <v>29</v>
      </c>
      <c r="K50" s="124">
        <f>[7]Расчет_тарифа_стр.1_3!K29</f>
        <v>0</v>
      </c>
      <c r="L50" s="124">
        <v>12239.0320671971</v>
      </c>
      <c r="M50" s="124" t="s">
        <v>29</v>
      </c>
      <c r="N50" s="124" t="s">
        <v>29</v>
      </c>
      <c r="O50" s="124">
        <v>0</v>
      </c>
      <c r="P50" s="124">
        <f t="shared" si="50"/>
        <v>-12239.0320671971</v>
      </c>
      <c r="Q50" s="124">
        <v>13050.6166704019</v>
      </c>
      <c r="R50" s="124">
        <v>13050.6166704019</v>
      </c>
      <c r="S50" s="124">
        <v>13050.6166704019</v>
      </c>
      <c r="T50" s="124">
        <v>-1179.7244271238401</v>
      </c>
      <c r="U50" s="124">
        <f t="shared" si="51"/>
        <v>-14230.341097525739</v>
      </c>
      <c r="V50" s="124">
        <v>13573.8165257367</v>
      </c>
      <c r="W50" s="124" t="s">
        <v>29</v>
      </c>
      <c r="X50" s="124" t="s">
        <v>29</v>
      </c>
      <c r="Y50" s="124">
        <v>13963.481500919999</v>
      </c>
      <c r="Z50" s="124" t="s">
        <v>29</v>
      </c>
      <c r="AA50" s="124" t="s">
        <v>29</v>
      </c>
      <c r="AB50" s="124">
        <v>14510.683461664699</v>
      </c>
      <c r="AC50" s="124" t="s">
        <v>29</v>
      </c>
      <c r="AD50" s="124" t="s">
        <v>29</v>
      </c>
      <c r="AE50" s="124">
        <f t="shared" si="4"/>
        <v>14510.683461664699</v>
      </c>
      <c r="AF50" s="124" t="s">
        <v>29</v>
      </c>
      <c r="AG50" s="124" t="s">
        <v>29</v>
      </c>
      <c r="AH50" s="124">
        <f t="shared" si="5"/>
        <v>14510.683461664699</v>
      </c>
      <c r="AI50" s="124" t="s">
        <v>29</v>
      </c>
      <c r="AJ50" s="124" t="s">
        <v>29</v>
      </c>
      <c r="AK50" s="124">
        <f t="shared" si="6"/>
        <v>14510.683461664699</v>
      </c>
      <c r="AL50" s="124" t="s">
        <v>29</v>
      </c>
      <c r="AM50" s="124" t="s">
        <v>29</v>
      </c>
      <c r="AN50" s="124">
        <f t="shared" si="7"/>
        <v>14510.683461664699</v>
      </c>
      <c r="AO50" s="124" t="s">
        <v>29</v>
      </c>
      <c r="AP50" s="124" t="s">
        <v>29</v>
      </c>
      <c r="AQ50" s="124">
        <f t="shared" si="8"/>
        <v>14510.683461664699</v>
      </c>
      <c r="AR50" s="124" t="s">
        <v>29</v>
      </c>
      <c r="AS50" s="124" t="s">
        <v>29</v>
      </c>
      <c r="AT50" s="124">
        <f t="shared" si="9"/>
        <v>14510.683461664699</v>
      </c>
      <c r="AU50" s="124" t="s">
        <v>29</v>
      </c>
      <c r="AV50" s="124" t="s">
        <v>29</v>
      </c>
      <c r="AW50" s="124">
        <f t="shared" si="10"/>
        <v>14510.683461664699</v>
      </c>
      <c r="AX50" s="124" t="s">
        <v>29</v>
      </c>
      <c r="AY50" s="124" t="s">
        <v>29</v>
      </c>
      <c r="AZ50" s="124">
        <f t="shared" si="11"/>
        <v>14510.683461664699</v>
      </c>
      <c r="BA50" s="124" t="s">
        <v>29</v>
      </c>
      <c r="BB50" s="124" t="s">
        <v>29</v>
      </c>
      <c r="BC50" s="124">
        <f t="shared" si="12"/>
        <v>14510.683461664699</v>
      </c>
      <c r="BD50" s="124" t="s">
        <v>29</v>
      </c>
      <c r="BE50" s="124" t="s">
        <v>29</v>
      </c>
      <c r="BF50" s="124">
        <f t="shared" si="13"/>
        <v>14510.683461664699</v>
      </c>
      <c r="BG50" s="124" t="s">
        <v>29</v>
      </c>
      <c r="BH50" s="124" t="s">
        <v>29</v>
      </c>
      <c r="BI50" s="124">
        <f t="shared" si="14"/>
        <v>14510.683461664699</v>
      </c>
      <c r="BJ50" s="124" t="s">
        <v>29</v>
      </c>
      <c r="BK50" s="124" t="s">
        <v>29</v>
      </c>
      <c r="BL50" s="124">
        <f t="shared" si="15"/>
        <v>14510.683461664699</v>
      </c>
      <c r="BM50" s="124" t="s">
        <v>29</v>
      </c>
      <c r="BN50" s="124" t="s">
        <v>29</v>
      </c>
      <c r="BO50" s="124">
        <f t="shared" si="16"/>
        <v>14510.683461664699</v>
      </c>
      <c r="BP50" s="124" t="s">
        <v>29</v>
      </c>
      <c r="BQ50" s="124" t="s">
        <v>29</v>
      </c>
      <c r="BR50" s="124">
        <f t="shared" si="17"/>
        <v>14510.683461664699</v>
      </c>
      <c r="BS50" s="124" t="s">
        <v>29</v>
      </c>
      <c r="BT50" s="124" t="s">
        <v>29</v>
      </c>
      <c r="BU50" s="124">
        <f t="shared" si="18"/>
        <v>14510.683461664699</v>
      </c>
      <c r="BV50" s="124" t="s">
        <v>29</v>
      </c>
      <c r="BW50" s="124" t="s">
        <v>29</v>
      </c>
      <c r="BX50" s="276">
        <f>[7]Расчет_тарифа_стр.1_3!AF29</f>
        <v>8385.1682895027807</v>
      </c>
      <c r="BY50" s="277" t="str">
        <f>[7]Расчет_тарифа_стр.1_3!AG29</f>
        <v>х</v>
      </c>
      <c r="BZ50" s="277" t="str">
        <f>[7]Расчет_тарифа_стр.1_3!AH29</f>
        <v>х</v>
      </c>
      <c r="CA50" s="277">
        <f>[7]Расчет_тарифа_стр.1_3!AI29</f>
        <v>0</v>
      </c>
      <c r="CB50" s="277">
        <f>[7]Расчет_тарифа_стр.1_3!AJ29</f>
        <v>10167.656640326401</v>
      </c>
      <c r="CC50" s="277" t="str">
        <f>[7]Расчет_тарифа_стр.1_3!AK29</f>
        <v>х</v>
      </c>
      <c r="CD50" s="277" t="str">
        <f>[7]Расчет_тарифа_стр.1_3!AL29</f>
        <v>х</v>
      </c>
      <c r="CE50" s="277">
        <f>[7]Расчет_тарифа_стр.1_3!AM29</f>
        <v>0</v>
      </c>
      <c r="CF50" s="277">
        <v>9435.5721782442997</v>
      </c>
      <c r="CG50" s="124" t="s">
        <v>29</v>
      </c>
      <c r="CH50" s="124" t="s">
        <v>29</v>
      </c>
      <c r="CI50" s="124">
        <v>0</v>
      </c>
      <c r="CJ50" s="277">
        <f t="shared" si="52"/>
        <v>-9435.5721782442997</v>
      </c>
      <c r="CK50" s="277">
        <v>9845.0851222038</v>
      </c>
      <c r="CL50" s="124" t="s">
        <v>29</v>
      </c>
      <c r="CM50" s="124" t="s">
        <v>29</v>
      </c>
      <c r="CN50" s="124">
        <v>0</v>
      </c>
      <c r="CO50" s="124">
        <f t="shared" si="53"/>
        <v>-9845.0851222038</v>
      </c>
      <c r="CP50" s="277">
        <v>10031.0736813904</v>
      </c>
      <c r="CQ50" s="124" t="s">
        <v>29</v>
      </c>
      <c r="CR50" s="124" t="s">
        <v>29</v>
      </c>
      <c r="CS50" s="277">
        <v>10457.892335340401</v>
      </c>
      <c r="CT50" s="124" t="s">
        <v>29</v>
      </c>
      <c r="CU50" s="124" t="s">
        <v>29</v>
      </c>
      <c r="CV50" s="277">
        <v>10908.1322836007</v>
      </c>
      <c r="CW50" s="124" t="s">
        <v>29</v>
      </c>
      <c r="CX50" s="124" t="s">
        <v>29</v>
      </c>
      <c r="CY50" s="277">
        <f t="shared" si="23"/>
        <v>10908.1322836007</v>
      </c>
      <c r="CZ50" s="124" t="s">
        <v>29</v>
      </c>
      <c r="DA50" s="124" t="s">
        <v>29</v>
      </c>
      <c r="DB50" s="277">
        <f t="shared" si="24"/>
        <v>10908.1322836007</v>
      </c>
      <c r="DC50" s="124" t="s">
        <v>29</v>
      </c>
      <c r="DD50" s="124" t="s">
        <v>29</v>
      </c>
      <c r="DE50" s="277">
        <f t="shared" si="25"/>
        <v>10908.1322836007</v>
      </c>
      <c r="DF50" s="124" t="s">
        <v>29</v>
      </c>
      <c r="DG50" s="124" t="s">
        <v>29</v>
      </c>
      <c r="DH50" s="277">
        <f t="shared" si="26"/>
        <v>10908.1322836007</v>
      </c>
      <c r="DI50" s="124" t="s">
        <v>29</v>
      </c>
      <c r="DJ50" s="124" t="s">
        <v>29</v>
      </c>
      <c r="DK50" s="277">
        <f t="shared" si="27"/>
        <v>10908.1322836007</v>
      </c>
      <c r="DL50" s="124" t="s">
        <v>29</v>
      </c>
      <c r="DM50" s="124" t="s">
        <v>29</v>
      </c>
      <c r="DN50" s="277">
        <f t="shared" si="28"/>
        <v>10908.1322836007</v>
      </c>
      <c r="DO50" s="124" t="s">
        <v>29</v>
      </c>
      <c r="DP50" s="124" t="s">
        <v>29</v>
      </c>
      <c r="DQ50" s="277">
        <f t="shared" si="29"/>
        <v>10908.1322836007</v>
      </c>
      <c r="DR50" s="124" t="s">
        <v>29</v>
      </c>
      <c r="DS50" s="124" t="s">
        <v>29</v>
      </c>
      <c r="DT50" s="277">
        <f t="shared" si="30"/>
        <v>10908.1322836007</v>
      </c>
      <c r="DU50" s="124" t="s">
        <v>29</v>
      </c>
      <c r="DV50" s="124" t="s">
        <v>29</v>
      </c>
      <c r="DW50" s="277">
        <f t="shared" si="31"/>
        <v>10908.1322836007</v>
      </c>
      <c r="DX50" s="124" t="s">
        <v>29</v>
      </c>
      <c r="DY50" s="124" t="s">
        <v>29</v>
      </c>
      <c r="DZ50" s="277">
        <f t="shared" si="32"/>
        <v>10908.1322836007</v>
      </c>
      <c r="EA50" s="124" t="s">
        <v>29</v>
      </c>
      <c r="EB50" s="124" t="s">
        <v>29</v>
      </c>
      <c r="EC50" s="277">
        <f t="shared" si="33"/>
        <v>10908.1322836007</v>
      </c>
      <c r="ED50" s="124" t="s">
        <v>29</v>
      </c>
      <c r="EE50" s="124" t="s">
        <v>29</v>
      </c>
      <c r="EF50" s="277">
        <f t="shared" si="34"/>
        <v>10908.1322836007</v>
      </c>
      <c r="EG50" s="124" t="s">
        <v>29</v>
      </c>
      <c r="EH50" s="124" t="s">
        <v>29</v>
      </c>
      <c r="EI50" s="277">
        <f t="shared" si="35"/>
        <v>10908.1322836007</v>
      </c>
      <c r="EJ50" s="124" t="s">
        <v>29</v>
      </c>
      <c r="EK50" s="124" t="s">
        <v>29</v>
      </c>
      <c r="EL50" s="277">
        <f t="shared" si="36"/>
        <v>10908.1322836007</v>
      </c>
      <c r="EM50" s="124" t="s">
        <v>29</v>
      </c>
      <c r="EN50" s="124" t="s">
        <v>29</v>
      </c>
      <c r="EO50" s="277">
        <f t="shared" si="37"/>
        <v>10908.1322836007</v>
      </c>
      <c r="EP50" s="124" t="s">
        <v>29</v>
      </c>
      <c r="EQ50" s="124" t="s">
        <v>29</v>
      </c>
    </row>
    <row r="51" spans="1:147">
      <c r="A51" s="117">
        <v>2</v>
      </c>
      <c r="B51" s="121" t="s">
        <v>428</v>
      </c>
      <c r="C51" s="122" t="s">
        <v>349</v>
      </c>
      <c r="D51" s="124">
        <f>[7]Расчет_тарифа_стр.1_3!D30</f>
        <v>0</v>
      </c>
      <c r="E51" s="124">
        <f>[7]Расчет_тарифа_стр.1_3!E30</f>
        <v>0</v>
      </c>
      <c r="F51" s="124">
        <f>[7]Расчет_тарифа_стр.1_3!F30</f>
        <v>0</v>
      </c>
      <c r="G51" s="124">
        <f>[7]Расчет_тарифа_стр.1_3!G30</f>
        <v>0</v>
      </c>
      <c r="H51" s="124">
        <f>[7]Расчет_тарифа_стр.1_3!H30</f>
        <v>22500</v>
      </c>
      <c r="I51" s="124">
        <f>[7]Расчет_тарифа_стр.1_3!I30</f>
        <v>0</v>
      </c>
      <c r="J51" s="124">
        <f>[7]Расчет_тарифа_стр.1_3!J30</f>
        <v>0</v>
      </c>
      <c r="K51" s="124">
        <f>[7]Расчет_тарифа_стр.1_3!K30</f>
        <v>0</v>
      </c>
      <c r="L51" s="124">
        <v>2114.4299999999998</v>
      </c>
      <c r="M51" s="124"/>
      <c r="N51" s="124"/>
      <c r="O51" s="124">
        <v>0</v>
      </c>
      <c r="P51" s="124">
        <f t="shared" si="50"/>
        <v>-2114.4299999999998</v>
      </c>
      <c r="Q51" s="124">
        <v>0</v>
      </c>
      <c r="R51" s="124">
        <v>0</v>
      </c>
      <c r="S51" s="124">
        <v>0</v>
      </c>
      <c r="T51" s="124">
        <v>0</v>
      </c>
      <c r="U51" s="124">
        <f t="shared" si="51"/>
        <v>0</v>
      </c>
      <c r="V51" s="124">
        <v>0</v>
      </c>
      <c r="W51" s="124"/>
      <c r="X51" s="124"/>
      <c r="Y51" s="124">
        <v>0</v>
      </c>
      <c r="Z51" s="124"/>
      <c r="AA51" s="124"/>
      <c r="AB51" s="124">
        <v>0</v>
      </c>
      <c r="AC51" s="124"/>
      <c r="AD51" s="124"/>
      <c r="AE51" s="124">
        <f t="shared" si="4"/>
        <v>0</v>
      </c>
      <c r="AF51" s="124"/>
      <c r="AG51" s="124"/>
      <c r="AH51" s="124">
        <f t="shared" si="5"/>
        <v>0</v>
      </c>
      <c r="AI51" s="124"/>
      <c r="AJ51" s="124"/>
      <c r="AK51" s="124">
        <f t="shared" si="6"/>
        <v>0</v>
      </c>
      <c r="AL51" s="124"/>
      <c r="AM51" s="124"/>
      <c r="AN51" s="124">
        <f t="shared" si="7"/>
        <v>0</v>
      </c>
      <c r="AO51" s="124"/>
      <c r="AP51" s="124"/>
      <c r="AQ51" s="124">
        <f t="shared" si="8"/>
        <v>0</v>
      </c>
      <c r="AR51" s="124"/>
      <c r="AS51" s="124"/>
      <c r="AT51" s="124">
        <f t="shared" si="9"/>
        <v>0</v>
      </c>
      <c r="AU51" s="124"/>
      <c r="AV51" s="124"/>
      <c r="AW51" s="124">
        <f t="shared" si="10"/>
        <v>0</v>
      </c>
      <c r="AX51" s="124"/>
      <c r="AY51" s="124"/>
      <c r="AZ51" s="124">
        <f t="shared" si="11"/>
        <v>0</v>
      </c>
      <c r="BA51" s="124"/>
      <c r="BB51" s="124"/>
      <c r="BC51" s="124">
        <f t="shared" si="12"/>
        <v>0</v>
      </c>
      <c r="BD51" s="124"/>
      <c r="BE51" s="124"/>
      <c r="BF51" s="124">
        <f t="shared" si="13"/>
        <v>0</v>
      </c>
      <c r="BG51" s="124"/>
      <c r="BH51" s="124"/>
      <c r="BI51" s="124">
        <f t="shared" si="14"/>
        <v>0</v>
      </c>
      <c r="BJ51" s="124"/>
      <c r="BK51" s="124"/>
      <c r="BL51" s="124">
        <f t="shared" si="15"/>
        <v>0</v>
      </c>
      <c r="BM51" s="124"/>
      <c r="BN51" s="124"/>
      <c r="BO51" s="124">
        <f t="shared" si="16"/>
        <v>0</v>
      </c>
      <c r="BP51" s="124"/>
      <c r="BQ51" s="124"/>
      <c r="BR51" s="124">
        <f t="shared" si="17"/>
        <v>0</v>
      </c>
      <c r="BS51" s="124"/>
      <c r="BT51" s="124"/>
      <c r="BU51" s="124">
        <f t="shared" si="18"/>
        <v>0</v>
      </c>
      <c r="BV51" s="124"/>
      <c r="BW51" s="124"/>
      <c r="BX51" s="276">
        <f>[7]Расчет_тарифа_стр.1_3!AF30</f>
        <v>0</v>
      </c>
      <c r="BY51" s="277">
        <f>[7]Расчет_тарифа_стр.1_3!AG30</f>
        <v>0</v>
      </c>
      <c r="BZ51" s="277">
        <f>[7]Расчет_тарифа_стр.1_3!AH30</f>
        <v>0</v>
      </c>
      <c r="CA51" s="277">
        <f>[7]Расчет_тарифа_стр.1_3!AI30</f>
        <v>0</v>
      </c>
      <c r="CB51" s="277">
        <f>[7]Расчет_тарифа_стр.1_3!AJ30</f>
        <v>-22500</v>
      </c>
      <c r="CC51" s="277">
        <f>[7]Расчет_тарифа_стр.1_3!AK30</f>
        <v>0</v>
      </c>
      <c r="CD51" s="277">
        <f>[7]Расчет_тарифа_стр.1_3!AL30</f>
        <v>0</v>
      </c>
      <c r="CE51" s="277">
        <f>[7]Расчет_тарифа_стр.1_3!AM30</f>
        <v>0</v>
      </c>
      <c r="CF51" s="277">
        <v>-6138.42</v>
      </c>
      <c r="CG51" s="277"/>
      <c r="CH51" s="277"/>
      <c r="CI51" s="124">
        <v>0</v>
      </c>
      <c r="CJ51" s="277">
        <f t="shared" si="52"/>
        <v>6138.42</v>
      </c>
      <c r="CK51" s="277">
        <v>0</v>
      </c>
      <c r="CL51" s="277"/>
      <c r="CM51" s="277"/>
      <c r="CN51" s="124">
        <v>0</v>
      </c>
      <c r="CO51" s="124">
        <f t="shared" si="53"/>
        <v>0</v>
      </c>
      <c r="CP51" s="277">
        <v>0</v>
      </c>
      <c r="CQ51" s="277"/>
      <c r="CR51" s="277"/>
      <c r="CS51" s="277">
        <v>0</v>
      </c>
      <c r="CT51" s="277"/>
      <c r="CU51" s="277"/>
      <c r="CV51" s="277">
        <v>0</v>
      </c>
      <c r="CW51" s="277"/>
      <c r="CX51" s="277"/>
      <c r="CY51" s="277">
        <f t="shared" si="23"/>
        <v>0</v>
      </c>
      <c r="CZ51" s="277"/>
      <c r="DA51" s="277"/>
      <c r="DB51" s="277">
        <f t="shared" si="24"/>
        <v>0</v>
      </c>
      <c r="DC51" s="277"/>
      <c r="DD51" s="277"/>
      <c r="DE51" s="277">
        <f t="shared" si="25"/>
        <v>0</v>
      </c>
      <c r="DF51" s="277"/>
      <c r="DG51" s="277"/>
      <c r="DH51" s="277">
        <f t="shared" si="26"/>
        <v>0</v>
      </c>
      <c r="DI51" s="277"/>
      <c r="DJ51" s="277"/>
      <c r="DK51" s="277">
        <f t="shared" si="27"/>
        <v>0</v>
      </c>
      <c r="DL51" s="277"/>
      <c r="DM51" s="277"/>
      <c r="DN51" s="277">
        <f t="shared" si="28"/>
        <v>0</v>
      </c>
      <c r="DO51" s="277"/>
      <c r="DP51" s="277"/>
      <c r="DQ51" s="277">
        <f t="shared" si="29"/>
        <v>0</v>
      </c>
      <c r="DR51" s="277"/>
      <c r="DS51" s="277"/>
      <c r="DT51" s="277">
        <f t="shared" si="30"/>
        <v>0</v>
      </c>
      <c r="DU51" s="277"/>
      <c r="DV51" s="277"/>
      <c r="DW51" s="277">
        <f t="shared" si="31"/>
        <v>0</v>
      </c>
      <c r="DX51" s="277"/>
      <c r="DY51" s="277"/>
      <c r="DZ51" s="277">
        <f t="shared" si="32"/>
        <v>0</v>
      </c>
      <c r="EA51" s="277"/>
      <c r="EB51" s="277"/>
      <c r="EC51" s="277">
        <f t="shared" si="33"/>
        <v>0</v>
      </c>
      <c r="ED51" s="277"/>
      <c r="EE51" s="277"/>
      <c r="EF51" s="277">
        <f t="shared" si="34"/>
        <v>0</v>
      </c>
      <c r="EG51" s="277"/>
      <c r="EH51" s="277"/>
      <c r="EI51" s="277">
        <f t="shared" si="35"/>
        <v>0</v>
      </c>
      <c r="EJ51" s="277"/>
      <c r="EK51" s="277"/>
      <c r="EL51" s="277">
        <f t="shared" si="36"/>
        <v>0</v>
      </c>
      <c r="EM51" s="277"/>
      <c r="EN51" s="277"/>
      <c r="EO51" s="277">
        <f t="shared" si="37"/>
        <v>0</v>
      </c>
      <c r="EP51" s="277"/>
      <c r="EQ51" s="277"/>
    </row>
    <row r="52" spans="1:147" ht="45" hidden="1" customHeight="1" outlineLevel="1">
      <c r="A52" s="125" t="s">
        <v>30</v>
      </c>
      <c r="B52" s="126" t="s">
        <v>429</v>
      </c>
      <c r="C52" s="122"/>
      <c r="D52" s="124">
        <f>[7]Расчет_тарифа_стр.1_3!D31</f>
        <v>0</v>
      </c>
      <c r="E52" s="124">
        <f>[7]Расчет_тарифа_стр.1_3!E31</f>
        <v>0</v>
      </c>
      <c r="F52" s="124">
        <f>[7]Расчет_тарифа_стр.1_3!F31</f>
        <v>0</v>
      </c>
      <c r="G52" s="124">
        <f>[7]Расчет_тарифа_стр.1_3!G31</f>
        <v>0</v>
      </c>
      <c r="H52" s="124">
        <f>[7]Расчет_тарифа_стр.1_3!H31</f>
        <v>0</v>
      </c>
      <c r="I52" s="124">
        <f>[7]Расчет_тарифа_стр.1_3!I31</f>
        <v>0</v>
      </c>
      <c r="J52" s="124">
        <f>[7]Расчет_тарифа_стр.1_3!J31</f>
        <v>0</v>
      </c>
      <c r="K52" s="124">
        <f>[7]Расчет_тарифа_стр.1_3!K31</f>
        <v>0</v>
      </c>
      <c r="L52" s="124">
        <f>[7]Расчет_тарифа_стр.1_3!L31</f>
        <v>0</v>
      </c>
      <c r="M52" s="124"/>
      <c r="N52" s="124"/>
      <c r="O52" s="124"/>
      <c r="P52" s="124">
        <f t="shared" si="50"/>
        <v>0</v>
      </c>
      <c r="Q52" s="124">
        <f>[7]Расчет_тарифа_стр.1_3!M31</f>
        <v>0</v>
      </c>
      <c r="R52" s="124"/>
      <c r="S52" s="124"/>
      <c r="T52" s="124">
        <f>[8]Расчет_тарифа_стр.1_3!P28</f>
        <v>0</v>
      </c>
      <c r="U52" s="124">
        <f t="shared" si="51"/>
        <v>0</v>
      </c>
      <c r="V52" s="124">
        <f>[7]Расчет_тарифа_стр.1_3!N31</f>
        <v>0</v>
      </c>
      <c r="W52" s="124"/>
      <c r="X52" s="124"/>
      <c r="Y52" s="124">
        <f>[7]Расчет_тарифа_стр.1_3!Q31</f>
        <v>0</v>
      </c>
      <c r="Z52" s="124"/>
      <c r="AA52" s="124"/>
      <c r="AB52" s="124">
        <f>[7]Расчет_тарифа_стр.1_3!P31</f>
        <v>0</v>
      </c>
      <c r="AC52" s="124"/>
      <c r="AD52" s="124"/>
      <c r="AE52" s="124">
        <f>[7]Расчет_тарифа_стр.1_3!Q31</f>
        <v>0</v>
      </c>
      <c r="AF52" s="124"/>
      <c r="AG52" s="124"/>
      <c r="AH52" s="124">
        <f>[7]Расчет_тарифа_стр.1_3!R31</f>
        <v>0</v>
      </c>
      <c r="AI52" s="124"/>
      <c r="AJ52" s="124"/>
      <c r="AK52" s="124">
        <f>[7]Расчет_тарифа_стр.1_3!S31</f>
        <v>0</v>
      </c>
      <c r="AL52" s="124"/>
      <c r="AM52" s="124"/>
      <c r="AN52" s="124">
        <f>[7]Расчет_тарифа_стр.1_3!T31</f>
        <v>0</v>
      </c>
      <c r="AO52" s="124"/>
      <c r="AP52" s="124"/>
      <c r="AQ52" s="124">
        <f>[7]Расчет_тарифа_стр.1_3!U31</f>
        <v>0</v>
      </c>
      <c r="AR52" s="124"/>
      <c r="AS52" s="124"/>
      <c r="AT52" s="124">
        <f>[7]Расчет_тарифа_стр.1_3!V31</f>
        <v>0</v>
      </c>
      <c r="AU52" s="124"/>
      <c r="AV52" s="124"/>
      <c r="AW52" s="124">
        <f>[7]Расчет_тарифа_стр.1_3!W31</f>
        <v>0</v>
      </c>
      <c r="AX52" s="124"/>
      <c r="AY52" s="124"/>
      <c r="AZ52" s="124">
        <f>[7]Расчет_тарифа_стр.1_3!X31</f>
        <v>0</v>
      </c>
      <c r="BA52" s="124"/>
      <c r="BB52" s="124"/>
      <c r="BC52" s="124">
        <f>[7]Расчет_тарифа_стр.1_3!Y31</f>
        <v>0</v>
      </c>
      <c r="BD52" s="124"/>
      <c r="BE52" s="124"/>
      <c r="BF52" s="124">
        <f>[7]Расчет_тарифа_стр.1_3!Z31</f>
        <v>0</v>
      </c>
      <c r="BG52" s="124"/>
      <c r="BH52" s="124"/>
      <c r="BI52" s="124">
        <f>[7]Расчет_тарифа_стр.1_3!AA31</f>
        <v>0</v>
      </c>
      <c r="BJ52" s="124"/>
      <c r="BK52" s="124"/>
      <c r="BL52" s="124">
        <f>[7]Расчет_тарифа_стр.1_3!AB31</f>
        <v>0</v>
      </c>
      <c r="BM52" s="124"/>
      <c r="BN52" s="124"/>
      <c r="BO52" s="124">
        <f>[7]Расчет_тарифа_стр.1_3!AC31</f>
        <v>0</v>
      </c>
      <c r="BP52" s="124"/>
      <c r="BQ52" s="124"/>
      <c r="BR52" s="124">
        <f>[7]Расчет_тарифа_стр.1_3!AD31</f>
        <v>0</v>
      </c>
      <c r="BS52" s="124"/>
      <c r="BT52" s="124"/>
      <c r="BU52" s="124"/>
      <c r="BV52" s="124"/>
      <c r="BW52" s="124"/>
      <c r="BX52" s="276">
        <f>[7]Расчет_тарифа_стр.1_3!AF31</f>
        <v>0</v>
      </c>
      <c r="BY52" s="277">
        <f>[7]Расчет_тарифа_стр.1_3!AG31</f>
        <v>0</v>
      </c>
      <c r="BZ52" s="277">
        <f>[7]Расчет_тарифа_стр.1_3!AH31</f>
        <v>0</v>
      </c>
      <c r="CA52" s="277">
        <f>[7]Расчет_тарифа_стр.1_3!AI31</f>
        <v>0</v>
      </c>
      <c r="CB52" s="277">
        <f>[7]Расчет_тарифа_стр.1_3!AJ31</f>
        <v>0</v>
      </c>
      <c r="CC52" s="277">
        <f>[7]Расчет_тарифа_стр.1_3!AK31</f>
        <v>0</v>
      </c>
      <c r="CD52" s="277">
        <f>[7]Расчет_тарифа_стр.1_3!AL31</f>
        <v>0</v>
      </c>
      <c r="CE52" s="277">
        <f>[7]Расчет_тарифа_стр.1_3!AM31</f>
        <v>0</v>
      </c>
      <c r="CF52" s="277">
        <f>[7]Расчет_тарифа_стр.1_3!AN31</f>
        <v>0</v>
      </c>
      <c r="CG52" s="277"/>
      <c r="CH52" s="277"/>
      <c r="CI52" s="124"/>
      <c r="CJ52" s="277">
        <f t="shared" si="52"/>
        <v>0</v>
      </c>
      <c r="CK52" s="277">
        <f>[7]Расчет_тарифа_стр.1_3!AQ31</f>
        <v>0</v>
      </c>
      <c r="CL52" s="277"/>
      <c r="CM52" s="277"/>
      <c r="CN52" s="124"/>
      <c r="CO52" s="124">
        <f t="shared" si="53"/>
        <v>0</v>
      </c>
      <c r="CP52" s="277">
        <f>[7]Расчет_тарифа_стр.1_3!AT31</f>
        <v>0</v>
      </c>
      <c r="CQ52" s="277"/>
      <c r="CR52" s="277"/>
      <c r="CS52" s="277">
        <f>[7]Расчет_тарифа_стр.1_3!AW31</f>
        <v>0</v>
      </c>
      <c r="CT52" s="277"/>
      <c r="CU52" s="277"/>
      <c r="CV52" s="277">
        <f>[7]Расчет_тарифа_стр.1_3!AZ31</f>
        <v>0</v>
      </c>
      <c r="CW52" s="277"/>
      <c r="CX52" s="277"/>
      <c r="CY52" s="277">
        <f>[7]Расчет_тарифа_стр.1_3!AS31</f>
        <v>0</v>
      </c>
      <c r="CZ52" s="277"/>
      <c r="DA52" s="277"/>
      <c r="DB52" s="277">
        <f>[7]Расчет_тарифа_стр.1_3!AT31</f>
        <v>0</v>
      </c>
      <c r="DC52" s="277"/>
      <c r="DD52" s="277"/>
      <c r="DE52" s="277">
        <f>[7]Расчет_тарифа_стр.1_3!AU31</f>
        <v>0</v>
      </c>
      <c r="DF52" s="277"/>
      <c r="DG52" s="277"/>
      <c r="DH52" s="277">
        <f>[7]Расчет_тарифа_стр.1_3!AV31</f>
        <v>0</v>
      </c>
      <c r="DI52" s="277"/>
      <c r="DJ52" s="277"/>
      <c r="DK52" s="277">
        <f>[7]Расчет_тарифа_стр.1_3!AW31</f>
        <v>0</v>
      </c>
      <c r="DL52" s="277"/>
      <c r="DM52" s="277"/>
      <c r="DN52" s="277">
        <f>[7]Расчет_тарифа_стр.1_3!AX31</f>
        <v>0</v>
      </c>
      <c r="DO52" s="277"/>
      <c r="DP52" s="277"/>
      <c r="DQ52" s="277">
        <f>[7]Расчет_тарифа_стр.1_3!AY31</f>
        <v>0</v>
      </c>
      <c r="DR52" s="277"/>
      <c r="DS52" s="277"/>
      <c r="DT52" s="277">
        <f>[7]Расчет_тарифа_стр.1_3!AZ31</f>
        <v>0</v>
      </c>
      <c r="DU52" s="277"/>
      <c r="DV52" s="277"/>
      <c r="DW52" s="277">
        <f>[7]Расчет_тарифа_стр.1_3!BA31</f>
        <v>0</v>
      </c>
      <c r="DX52" s="277"/>
      <c r="DY52" s="277"/>
      <c r="DZ52" s="277">
        <f>[7]Расчет_тарифа_стр.1_3!BB31</f>
        <v>0</v>
      </c>
      <c r="EA52" s="277"/>
      <c r="EB52" s="277"/>
      <c r="EC52" s="277">
        <f>[7]Расчет_тарифа_стр.1_3!BC31</f>
        <v>0</v>
      </c>
      <c r="ED52" s="277"/>
      <c r="EE52" s="277"/>
      <c r="EF52" s="277">
        <f>[7]Расчет_тарифа_стр.1_3!BD31</f>
        <v>0</v>
      </c>
      <c r="EG52" s="277"/>
      <c r="EH52" s="277"/>
      <c r="EI52" s="277">
        <f>[7]Расчет_тарифа_стр.1_3!BE31</f>
        <v>0</v>
      </c>
      <c r="EJ52" s="277"/>
      <c r="EK52" s="277"/>
      <c r="EL52" s="277">
        <f>[7]Расчет_тарифа_стр.1_3!BF31</f>
        <v>0</v>
      </c>
      <c r="EM52" s="277"/>
      <c r="EN52" s="277"/>
      <c r="EO52" s="277"/>
      <c r="EP52" s="277"/>
      <c r="EQ52" s="277"/>
    </row>
    <row r="53" spans="1:147" ht="90" hidden="1" customHeight="1" outlineLevel="1">
      <c r="A53" s="125" t="s">
        <v>121</v>
      </c>
      <c r="B53" s="126" t="s">
        <v>430</v>
      </c>
      <c r="C53" s="122"/>
      <c r="D53" s="124">
        <f>[7]Расчет_тарифа_стр.1_3!D32</f>
        <v>0</v>
      </c>
      <c r="E53" s="124">
        <f>[7]Расчет_тарифа_стр.1_3!E32</f>
        <v>0</v>
      </c>
      <c r="F53" s="124">
        <f>[7]Расчет_тарифа_стр.1_3!F32</f>
        <v>0</v>
      </c>
      <c r="G53" s="124">
        <f>[7]Расчет_тарифа_стр.1_3!G32</f>
        <v>0</v>
      </c>
      <c r="H53" s="124">
        <f>[7]Расчет_тарифа_стр.1_3!H32</f>
        <v>0</v>
      </c>
      <c r="I53" s="124">
        <f>[7]Расчет_тарифа_стр.1_3!I32</f>
        <v>0</v>
      </c>
      <c r="J53" s="124">
        <f>[7]Расчет_тарифа_стр.1_3!J32</f>
        <v>0</v>
      </c>
      <c r="K53" s="124">
        <f>[7]Расчет_тарифа_стр.1_3!K32</f>
        <v>0</v>
      </c>
      <c r="L53" s="124">
        <f>[7]Расчет_тарифа_стр.1_3!L32</f>
        <v>0</v>
      </c>
      <c r="M53" s="124"/>
      <c r="N53" s="124"/>
      <c r="O53" s="124"/>
      <c r="P53" s="124">
        <f t="shared" si="50"/>
        <v>0</v>
      </c>
      <c r="Q53" s="124">
        <f>[7]Расчет_тарифа_стр.1_3!M32</f>
        <v>0</v>
      </c>
      <c r="R53" s="124"/>
      <c r="S53" s="124"/>
      <c r="T53" s="124">
        <f>[8]Расчет_тарифа_стр.1_3!P29</f>
        <v>0</v>
      </c>
      <c r="U53" s="124">
        <f t="shared" si="51"/>
        <v>0</v>
      </c>
      <c r="V53" s="124">
        <f>[7]Расчет_тарифа_стр.1_3!N32</f>
        <v>0</v>
      </c>
      <c r="W53" s="124"/>
      <c r="X53" s="124"/>
      <c r="Y53" s="124">
        <f>[7]Расчет_тарифа_стр.1_3!Q32</f>
        <v>0</v>
      </c>
      <c r="Z53" s="124"/>
      <c r="AA53" s="124"/>
      <c r="AB53" s="124">
        <f>[7]Расчет_тарифа_стр.1_3!P32</f>
        <v>0</v>
      </c>
      <c r="AC53" s="124"/>
      <c r="AD53" s="124"/>
      <c r="AE53" s="124">
        <f>[7]Расчет_тарифа_стр.1_3!Q32</f>
        <v>0</v>
      </c>
      <c r="AF53" s="124"/>
      <c r="AG53" s="124"/>
      <c r="AH53" s="124">
        <f>[7]Расчет_тарифа_стр.1_3!R32</f>
        <v>0</v>
      </c>
      <c r="AI53" s="124"/>
      <c r="AJ53" s="124"/>
      <c r="AK53" s="124">
        <f>[7]Расчет_тарифа_стр.1_3!S32</f>
        <v>0</v>
      </c>
      <c r="AL53" s="124"/>
      <c r="AM53" s="124"/>
      <c r="AN53" s="124">
        <f>[7]Расчет_тарифа_стр.1_3!T32</f>
        <v>0</v>
      </c>
      <c r="AO53" s="124"/>
      <c r="AP53" s="124"/>
      <c r="AQ53" s="124">
        <f>[7]Расчет_тарифа_стр.1_3!U32</f>
        <v>0</v>
      </c>
      <c r="AR53" s="124"/>
      <c r="AS53" s="124"/>
      <c r="AT53" s="124">
        <f>[7]Расчет_тарифа_стр.1_3!V32</f>
        <v>0</v>
      </c>
      <c r="AU53" s="124"/>
      <c r="AV53" s="124"/>
      <c r="AW53" s="124">
        <f>[7]Расчет_тарифа_стр.1_3!W32</f>
        <v>0</v>
      </c>
      <c r="AX53" s="124"/>
      <c r="AY53" s="124"/>
      <c r="AZ53" s="124">
        <f>[7]Расчет_тарифа_стр.1_3!X32</f>
        <v>0</v>
      </c>
      <c r="BA53" s="124"/>
      <c r="BB53" s="124"/>
      <c r="BC53" s="124">
        <f>[7]Расчет_тарифа_стр.1_3!Y32</f>
        <v>0</v>
      </c>
      <c r="BD53" s="124"/>
      <c r="BE53" s="124"/>
      <c r="BF53" s="124">
        <f>[7]Расчет_тарифа_стр.1_3!Z32</f>
        <v>0</v>
      </c>
      <c r="BG53" s="124"/>
      <c r="BH53" s="124"/>
      <c r="BI53" s="124">
        <f>[7]Расчет_тарифа_стр.1_3!AA32</f>
        <v>0</v>
      </c>
      <c r="BJ53" s="124"/>
      <c r="BK53" s="124"/>
      <c r="BL53" s="124">
        <f>[7]Расчет_тарифа_стр.1_3!AB32</f>
        <v>0</v>
      </c>
      <c r="BM53" s="124"/>
      <c r="BN53" s="124"/>
      <c r="BO53" s="124">
        <f>[7]Расчет_тарифа_стр.1_3!AC32</f>
        <v>0</v>
      </c>
      <c r="BP53" s="124"/>
      <c r="BQ53" s="124"/>
      <c r="BR53" s="124">
        <f>[7]Расчет_тарифа_стр.1_3!AD32</f>
        <v>0</v>
      </c>
      <c r="BS53" s="124"/>
      <c r="BT53" s="124"/>
      <c r="BU53" s="124"/>
      <c r="BV53" s="124"/>
      <c r="BW53" s="124"/>
      <c r="BX53" s="276">
        <f>[7]Расчет_тарифа_стр.1_3!AF32</f>
        <v>0</v>
      </c>
      <c r="BY53" s="277">
        <f>[7]Расчет_тарифа_стр.1_3!AG32</f>
        <v>0</v>
      </c>
      <c r="BZ53" s="277">
        <f>[7]Расчет_тарифа_стр.1_3!AH32</f>
        <v>0</v>
      </c>
      <c r="CA53" s="277">
        <f>[7]Расчет_тарифа_стр.1_3!AI32</f>
        <v>0</v>
      </c>
      <c r="CB53" s="277">
        <f>[7]Расчет_тарифа_стр.1_3!AJ32</f>
        <v>0</v>
      </c>
      <c r="CC53" s="277">
        <f>[7]Расчет_тарифа_стр.1_3!AK32</f>
        <v>0</v>
      </c>
      <c r="CD53" s="277">
        <f>[7]Расчет_тарифа_стр.1_3!AL32</f>
        <v>0</v>
      </c>
      <c r="CE53" s="277">
        <f>[7]Расчет_тарифа_стр.1_3!AM32</f>
        <v>0</v>
      </c>
      <c r="CF53" s="277">
        <f>[7]Расчет_тарифа_стр.1_3!AN32</f>
        <v>0</v>
      </c>
      <c r="CG53" s="277"/>
      <c r="CH53" s="277"/>
      <c r="CI53" s="124"/>
      <c r="CJ53" s="277">
        <f t="shared" si="52"/>
        <v>0</v>
      </c>
      <c r="CK53" s="277">
        <f>[7]Расчет_тарифа_стр.1_3!AQ32</f>
        <v>0</v>
      </c>
      <c r="CL53" s="277"/>
      <c r="CM53" s="277"/>
      <c r="CN53" s="124"/>
      <c r="CO53" s="124">
        <f t="shared" si="53"/>
        <v>0</v>
      </c>
      <c r="CP53" s="277">
        <f>[7]Расчет_тарифа_стр.1_3!AT32</f>
        <v>0</v>
      </c>
      <c r="CQ53" s="277"/>
      <c r="CR53" s="277"/>
      <c r="CS53" s="277">
        <f>[7]Расчет_тарифа_стр.1_3!AW32</f>
        <v>0</v>
      </c>
      <c r="CT53" s="277"/>
      <c r="CU53" s="277"/>
      <c r="CV53" s="277">
        <f>[7]Расчет_тарифа_стр.1_3!AZ32</f>
        <v>0</v>
      </c>
      <c r="CW53" s="277"/>
      <c r="CX53" s="277"/>
      <c r="CY53" s="277">
        <f>[7]Расчет_тарифа_стр.1_3!AS32</f>
        <v>0</v>
      </c>
      <c r="CZ53" s="277"/>
      <c r="DA53" s="277"/>
      <c r="DB53" s="277">
        <f>[7]Расчет_тарифа_стр.1_3!AT32</f>
        <v>0</v>
      </c>
      <c r="DC53" s="277"/>
      <c r="DD53" s="277"/>
      <c r="DE53" s="277">
        <f>[7]Расчет_тарифа_стр.1_3!AU32</f>
        <v>0</v>
      </c>
      <c r="DF53" s="277"/>
      <c r="DG53" s="277"/>
      <c r="DH53" s="277">
        <f>[7]Расчет_тарифа_стр.1_3!AV32</f>
        <v>0</v>
      </c>
      <c r="DI53" s="277"/>
      <c r="DJ53" s="277"/>
      <c r="DK53" s="277">
        <f>[7]Расчет_тарифа_стр.1_3!AW32</f>
        <v>0</v>
      </c>
      <c r="DL53" s="277"/>
      <c r="DM53" s="277"/>
      <c r="DN53" s="277">
        <f>[7]Расчет_тарифа_стр.1_3!AX32</f>
        <v>0</v>
      </c>
      <c r="DO53" s="277"/>
      <c r="DP53" s="277"/>
      <c r="DQ53" s="277">
        <f>[7]Расчет_тарифа_стр.1_3!AY32</f>
        <v>0</v>
      </c>
      <c r="DR53" s="277"/>
      <c r="DS53" s="277"/>
      <c r="DT53" s="277">
        <f>[7]Расчет_тарифа_стр.1_3!AZ32</f>
        <v>0</v>
      </c>
      <c r="DU53" s="277"/>
      <c r="DV53" s="277"/>
      <c r="DW53" s="277">
        <f>[7]Расчет_тарифа_стр.1_3!BA32</f>
        <v>0</v>
      </c>
      <c r="DX53" s="277"/>
      <c r="DY53" s="277"/>
      <c r="DZ53" s="277">
        <f>[7]Расчет_тарифа_стр.1_3!BB32</f>
        <v>0</v>
      </c>
      <c r="EA53" s="277"/>
      <c r="EB53" s="277"/>
      <c r="EC53" s="277">
        <f>[7]Расчет_тарифа_стр.1_3!BC32</f>
        <v>0</v>
      </c>
      <c r="ED53" s="277"/>
      <c r="EE53" s="277"/>
      <c r="EF53" s="277">
        <f>[7]Расчет_тарифа_стр.1_3!BD32</f>
        <v>0</v>
      </c>
      <c r="EG53" s="277"/>
      <c r="EH53" s="277"/>
      <c r="EI53" s="277">
        <f>[7]Расчет_тарифа_стр.1_3!BE32</f>
        <v>0</v>
      </c>
      <c r="EJ53" s="277"/>
      <c r="EK53" s="277"/>
      <c r="EL53" s="277">
        <f>[7]Расчет_тарифа_стр.1_3!BF32</f>
        <v>0</v>
      </c>
      <c r="EM53" s="277"/>
      <c r="EN53" s="277"/>
      <c r="EO53" s="277"/>
      <c r="EP53" s="277"/>
      <c r="EQ53" s="277"/>
    </row>
    <row r="54" spans="1:147" ht="45" hidden="1" customHeight="1" outlineLevel="1">
      <c r="A54" s="125" t="s">
        <v>123</v>
      </c>
      <c r="B54" s="126" t="s">
        <v>431</v>
      </c>
      <c r="C54" s="122"/>
      <c r="D54" s="124">
        <f>[7]Расчет_тарифа_стр.1_3!D33</f>
        <v>0</v>
      </c>
      <c r="E54" s="124">
        <f>[7]Расчет_тарифа_стр.1_3!E33</f>
        <v>0</v>
      </c>
      <c r="F54" s="124">
        <f>[7]Расчет_тарифа_стр.1_3!F33</f>
        <v>0</v>
      </c>
      <c r="G54" s="124">
        <f>[7]Расчет_тарифа_стр.1_3!G33</f>
        <v>0</v>
      </c>
      <c r="H54" s="124">
        <f>[7]Расчет_тарифа_стр.1_3!H33</f>
        <v>0</v>
      </c>
      <c r="I54" s="124">
        <f>[7]Расчет_тарифа_стр.1_3!I33</f>
        <v>0</v>
      </c>
      <c r="J54" s="124">
        <f>[7]Расчет_тарифа_стр.1_3!J33</f>
        <v>0</v>
      </c>
      <c r="K54" s="124">
        <f>[7]Расчет_тарифа_стр.1_3!K33</f>
        <v>0</v>
      </c>
      <c r="L54" s="124">
        <f>[7]Расчет_тарифа_стр.1_3!L33</f>
        <v>0</v>
      </c>
      <c r="M54" s="124"/>
      <c r="N54" s="124"/>
      <c r="O54" s="124"/>
      <c r="P54" s="124">
        <f t="shared" si="50"/>
        <v>0</v>
      </c>
      <c r="Q54" s="124">
        <f>[7]Расчет_тарифа_стр.1_3!M33</f>
        <v>0</v>
      </c>
      <c r="R54" s="124"/>
      <c r="S54" s="124"/>
      <c r="T54" s="124">
        <f>[8]Расчет_тарифа_стр.1_3!P30</f>
        <v>0</v>
      </c>
      <c r="U54" s="124">
        <f t="shared" si="51"/>
        <v>0</v>
      </c>
      <c r="V54" s="124">
        <f>[7]Расчет_тарифа_стр.1_3!N33</f>
        <v>0</v>
      </c>
      <c r="W54" s="124"/>
      <c r="X54" s="124"/>
      <c r="Y54" s="124">
        <f>[7]Расчет_тарифа_стр.1_3!Q33</f>
        <v>0</v>
      </c>
      <c r="Z54" s="124"/>
      <c r="AA54" s="124"/>
      <c r="AB54" s="124">
        <f>[7]Расчет_тарифа_стр.1_3!P33</f>
        <v>0</v>
      </c>
      <c r="AC54" s="124"/>
      <c r="AD54" s="124"/>
      <c r="AE54" s="124">
        <f>[7]Расчет_тарифа_стр.1_3!Q33</f>
        <v>0</v>
      </c>
      <c r="AF54" s="124"/>
      <c r="AG54" s="124"/>
      <c r="AH54" s="124">
        <f>[7]Расчет_тарифа_стр.1_3!R33</f>
        <v>0</v>
      </c>
      <c r="AI54" s="124"/>
      <c r="AJ54" s="124"/>
      <c r="AK54" s="124">
        <f>[7]Расчет_тарифа_стр.1_3!S33</f>
        <v>0</v>
      </c>
      <c r="AL54" s="124"/>
      <c r="AM54" s="124"/>
      <c r="AN54" s="124">
        <f>[7]Расчет_тарифа_стр.1_3!T33</f>
        <v>0</v>
      </c>
      <c r="AO54" s="124"/>
      <c r="AP54" s="124"/>
      <c r="AQ54" s="124">
        <f>[7]Расчет_тарифа_стр.1_3!U33</f>
        <v>0</v>
      </c>
      <c r="AR54" s="124"/>
      <c r="AS54" s="124"/>
      <c r="AT54" s="124">
        <f>[7]Расчет_тарифа_стр.1_3!V33</f>
        <v>0</v>
      </c>
      <c r="AU54" s="124"/>
      <c r="AV54" s="124"/>
      <c r="AW54" s="124">
        <f>[7]Расчет_тарифа_стр.1_3!W33</f>
        <v>0</v>
      </c>
      <c r="AX54" s="124"/>
      <c r="AY54" s="124"/>
      <c r="AZ54" s="124">
        <f>[7]Расчет_тарифа_стр.1_3!X33</f>
        <v>0</v>
      </c>
      <c r="BA54" s="124"/>
      <c r="BB54" s="124"/>
      <c r="BC54" s="124">
        <f>[7]Расчет_тарифа_стр.1_3!Y33</f>
        <v>0</v>
      </c>
      <c r="BD54" s="124"/>
      <c r="BE54" s="124"/>
      <c r="BF54" s="124">
        <f>[7]Расчет_тарифа_стр.1_3!Z33</f>
        <v>0</v>
      </c>
      <c r="BG54" s="124"/>
      <c r="BH54" s="124"/>
      <c r="BI54" s="124">
        <f>[7]Расчет_тарифа_стр.1_3!AA33</f>
        <v>0</v>
      </c>
      <c r="BJ54" s="124"/>
      <c r="BK54" s="124"/>
      <c r="BL54" s="124">
        <f>[7]Расчет_тарифа_стр.1_3!AB33</f>
        <v>0</v>
      </c>
      <c r="BM54" s="124"/>
      <c r="BN54" s="124"/>
      <c r="BO54" s="124">
        <f>[7]Расчет_тарифа_стр.1_3!AC33</f>
        <v>0</v>
      </c>
      <c r="BP54" s="124"/>
      <c r="BQ54" s="124"/>
      <c r="BR54" s="124">
        <f>[7]Расчет_тарифа_стр.1_3!AD33</f>
        <v>0</v>
      </c>
      <c r="BS54" s="124"/>
      <c r="BT54" s="124"/>
      <c r="BU54" s="124"/>
      <c r="BV54" s="124"/>
      <c r="BW54" s="124"/>
      <c r="BX54" s="276">
        <f>[7]Расчет_тарифа_стр.1_3!AF33</f>
        <v>0</v>
      </c>
      <c r="BY54" s="277">
        <f>[7]Расчет_тарифа_стр.1_3!AG33</f>
        <v>0</v>
      </c>
      <c r="BZ54" s="277">
        <f>[7]Расчет_тарифа_стр.1_3!AH33</f>
        <v>0</v>
      </c>
      <c r="CA54" s="277">
        <f>[7]Расчет_тарифа_стр.1_3!AI33</f>
        <v>0</v>
      </c>
      <c r="CB54" s="277">
        <f>[7]Расчет_тарифа_стр.1_3!AJ33</f>
        <v>0</v>
      </c>
      <c r="CC54" s="277">
        <f>[7]Расчет_тарифа_стр.1_3!AK33</f>
        <v>0</v>
      </c>
      <c r="CD54" s="277">
        <f>[7]Расчет_тарифа_стр.1_3!AL33</f>
        <v>0</v>
      </c>
      <c r="CE54" s="277">
        <f>[7]Расчет_тарифа_стр.1_3!AM33</f>
        <v>0</v>
      </c>
      <c r="CF54" s="277">
        <f>[7]Расчет_тарифа_стр.1_3!AN33</f>
        <v>0</v>
      </c>
      <c r="CG54" s="277"/>
      <c r="CH54" s="277"/>
      <c r="CI54" s="124"/>
      <c r="CJ54" s="277">
        <f t="shared" si="52"/>
        <v>0</v>
      </c>
      <c r="CK54" s="277">
        <f>[7]Расчет_тарифа_стр.1_3!AQ33</f>
        <v>0</v>
      </c>
      <c r="CL54" s="277"/>
      <c r="CM54" s="277"/>
      <c r="CN54" s="124"/>
      <c r="CO54" s="124">
        <f t="shared" si="53"/>
        <v>0</v>
      </c>
      <c r="CP54" s="277">
        <f>[7]Расчет_тарифа_стр.1_3!AT33</f>
        <v>0</v>
      </c>
      <c r="CQ54" s="277"/>
      <c r="CR54" s="277"/>
      <c r="CS54" s="277">
        <f>[7]Расчет_тарифа_стр.1_3!AW33</f>
        <v>0</v>
      </c>
      <c r="CT54" s="277"/>
      <c r="CU54" s="277"/>
      <c r="CV54" s="277">
        <f>[7]Расчет_тарифа_стр.1_3!AZ33</f>
        <v>0</v>
      </c>
      <c r="CW54" s="277"/>
      <c r="CX54" s="277"/>
      <c r="CY54" s="277">
        <f>[7]Расчет_тарифа_стр.1_3!AS33</f>
        <v>0</v>
      </c>
      <c r="CZ54" s="277"/>
      <c r="DA54" s="277"/>
      <c r="DB54" s="277">
        <f>[7]Расчет_тарифа_стр.1_3!AT33</f>
        <v>0</v>
      </c>
      <c r="DC54" s="277"/>
      <c r="DD54" s="277"/>
      <c r="DE54" s="277">
        <f>[7]Расчет_тарифа_стр.1_3!AU33</f>
        <v>0</v>
      </c>
      <c r="DF54" s="277"/>
      <c r="DG54" s="277"/>
      <c r="DH54" s="277">
        <f>[7]Расчет_тарифа_стр.1_3!AV33</f>
        <v>0</v>
      </c>
      <c r="DI54" s="277"/>
      <c r="DJ54" s="277"/>
      <c r="DK54" s="277">
        <f>[7]Расчет_тарифа_стр.1_3!AW33</f>
        <v>0</v>
      </c>
      <c r="DL54" s="277"/>
      <c r="DM54" s="277"/>
      <c r="DN54" s="277">
        <f>[7]Расчет_тарифа_стр.1_3!AX33</f>
        <v>0</v>
      </c>
      <c r="DO54" s="277"/>
      <c r="DP54" s="277"/>
      <c r="DQ54" s="277">
        <f>[7]Расчет_тарифа_стр.1_3!AY33</f>
        <v>0</v>
      </c>
      <c r="DR54" s="277"/>
      <c r="DS54" s="277"/>
      <c r="DT54" s="277">
        <f>[7]Расчет_тарифа_стр.1_3!AZ33</f>
        <v>0</v>
      </c>
      <c r="DU54" s="277"/>
      <c r="DV54" s="277"/>
      <c r="DW54" s="277">
        <f>[7]Расчет_тарифа_стр.1_3!BA33</f>
        <v>0</v>
      </c>
      <c r="DX54" s="277"/>
      <c r="DY54" s="277"/>
      <c r="DZ54" s="277">
        <f>[7]Расчет_тарифа_стр.1_3!BB33</f>
        <v>0</v>
      </c>
      <c r="EA54" s="277"/>
      <c r="EB54" s="277"/>
      <c r="EC54" s="277">
        <f>[7]Расчет_тарифа_стр.1_3!BC33</f>
        <v>0</v>
      </c>
      <c r="ED54" s="277"/>
      <c r="EE54" s="277"/>
      <c r="EF54" s="277">
        <f>[7]Расчет_тарифа_стр.1_3!BD33</f>
        <v>0</v>
      </c>
      <c r="EG54" s="277"/>
      <c r="EH54" s="277"/>
      <c r="EI54" s="277">
        <f>[7]Расчет_тарифа_стр.1_3!BE33</f>
        <v>0</v>
      </c>
      <c r="EJ54" s="277"/>
      <c r="EK54" s="277"/>
      <c r="EL54" s="277">
        <f>[7]Расчет_тарифа_стр.1_3!BF33</f>
        <v>0</v>
      </c>
      <c r="EM54" s="277"/>
      <c r="EN54" s="277"/>
      <c r="EO54" s="277"/>
      <c r="EP54" s="277"/>
      <c r="EQ54" s="277"/>
    </row>
    <row r="55" spans="1:147" ht="75" hidden="1" customHeight="1" outlineLevel="1">
      <c r="A55" s="125" t="s">
        <v>432</v>
      </c>
      <c r="B55" s="126" t="s">
        <v>433</v>
      </c>
      <c r="C55" s="122"/>
      <c r="D55" s="124">
        <f>[7]Расчет_тарифа_стр.1_3!D34</f>
        <v>0</v>
      </c>
      <c r="E55" s="124">
        <f>[7]Расчет_тарифа_стр.1_3!E34</f>
        <v>0</v>
      </c>
      <c r="F55" s="124">
        <f>[7]Расчет_тарифа_стр.1_3!F34</f>
        <v>0</v>
      </c>
      <c r="G55" s="124">
        <f>[7]Расчет_тарифа_стр.1_3!G34</f>
        <v>0</v>
      </c>
      <c r="H55" s="124">
        <f>[7]Расчет_тарифа_стр.1_3!H34</f>
        <v>0</v>
      </c>
      <c r="I55" s="124">
        <f>[7]Расчет_тарифа_стр.1_3!I34</f>
        <v>0</v>
      </c>
      <c r="J55" s="124">
        <f>[7]Расчет_тарифа_стр.1_3!J34</f>
        <v>0</v>
      </c>
      <c r="K55" s="124">
        <f>[7]Расчет_тарифа_стр.1_3!K34</f>
        <v>0</v>
      </c>
      <c r="L55" s="124">
        <f>[7]Расчет_тарифа_стр.1_3!L34</f>
        <v>0</v>
      </c>
      <c r="M55" s="124"/>
      <c r="N55" s="124"/>
      <c r="O55" s="124"/>
      <c r="P55" s="124">
        <f t="shared" si="50"/>
        <v>0</v>
      </c>
      <c r="Q55" s="124">
        <f>[7]Расчет_тарифа_стр.1_3!M34</f>
        <v>0</v>
      </c>
      <c r="R55" s="124"/>
      <c r="S55" s="124"/>
      <c r="T55" s="124">
        <f>[8]Расчет_тарифа_стр.1_3!P31</f>
        <v>0</v>
      </c>
      <c r="U55" s="124">
        <f t="shared" si="51"/>
        <v>0</v>
      </c>
      <c r="V55" s="124">
        <f>[7]Расчет_тарифа_стр.1_3!N34</f>
        <v>0</v>
      </c>
      <c r="W55" s="124"/>
      <c r="X55" s="124"/>
      <c r="Y55" s="124">
        <f>[7]Расчет_тарифа_стр.1_3!Q34</f>
        <v>0</v>
      </c>
      <c r="Z55" s="124"/>
      <c r="AA55" s="124"/>
      <c r="AB55" s="124">
        <f>[7]Расчет_тарифа_стр.1_3!P34</f>
        <v>0</v>
      </c>
      <c r="AC55" s="124"/>
      <c r="AD55" s="124"/>
      <c r="AE55" s="124">
        <f>[7]Расчет_тарифа_стр.1_3!Q34</f>
        <v>0</v>
      </c>
      <c r="AF55" s="124"/>
      <c r="AG55" s="124"/>
      <c r="AH55" s="124">
        <f>[7]Расчет_тарифа_стр.1_3!R34</f>
        <v>0</v>
      </c>
      <c r="AI55" s="124"/>
      <c r="AJ55" s="124"/>
      <c r="AK55" s="124">
        <f>[7]Расчет_тарифа_стр.1_3!S34</f>
        <v>0</v>
      </c>
      <c r="AL55" s="124"/>
      <c r="AM55" s="124"/>
      <c r="AN55" s="124">
        <f>[7]Расчет_тарифа_стр.1_3!T34</f>
        <v>0</v>
      </c>
      <c r="AO55" s="124"/>
      <c r="AP55" s="124"/>
      <c r="AQ55" s="124">
        <f>[7]Расчет_тарифа_стр.1_3!U34</f>
        <v>0</v>
      </c>
      <c r="AR55" s="124"/>
      <c r="AS55" s="124"/>
      <c r="AT55" s="124">
        <f>[7]Расчет_тарифа_стр.1_3!V34</f>
        <v>0</v>
      </c>
      <c r="AU55" s="124"/>
      <c r="AV55" s="124"/>
      <c r="AW55" s="124">
        <f>[7]Расчет_тарифа_стр.1_3!W34</f>
        <v>0</v>
      </c>
      <c r="AX55" s="124"/>
      <c r="AY55" s="124"/>
      <c r="AZ55" s="124">
        <f>[7]Расчет_тарифа_стр.1_3!X34</f>
        <v>0</v>
      </c>
      <c r="BA55" s="124"/>
      <c r="BB55" s="124"/>
      <c r="BC55" s="124">
        <f>[7]Расчет_тарифа_стр.1_3!Y34</f>
        <v>0</v>
      </c>
      <c r="BD55" s="124"/>
      <c r="BE55" s="124"/>
      <c r="BF55" s="124">
        <f>[7]Расчет_тарифа_стр.1_3!Z34</f>
        <v>0</v>
      </c>
      <c r="BG55" s="124"/>
      <c r="BH55" s="124"/>
      <c r="BI55" s="124">
        <f>[7]Расчет_тарифа_стр.1_3!AA34</f>
        <v>0</v>
      </c>
      <c r="BJ55" s="124"/>
      <c r="BK55" s="124"/>
      <c r="BL55" s="124">
        <f>[7]Расчет_тарифа_стр.1_3!AB34</f>
        <v>0</v>
      </c>
      <c r="BM55" s="124"/>
      <c r="BN55" s="124"/>
      <c r="BO55" s="124">
        <f>[7]Расчет_тарифа_стр.1_3!AC34</f>
        <v>0</v>
      </c>
      <c r="BP55" s="124"/>
      <c r="BQ55" s="124"/>
      <c r="BR55" s="124">
        <f>[7]Расчет_тарифа_стр.1_3!AD34</f>
        <v>0</v>
      </c>
      <c r="BS55" s="124"/>
      <c r="BT55" s="124"/>
      <c r="BU55" s="124"/>
      <c r="BV55" s="124"/>
      <c r="BW55" s="124"/>
      <c r="BX55" s="276">
        <f>[7]Расчет_тарифа_стр.1_3!AF34</f>
        <v>0</v>
      </c>
      <c r="BY55" s="277">
        <f>[7]Расчет_тарифа_стр.1_3!AG34</f>
        <v>0</v>
      </c>
      <c r="BZ55" s="277">
        <f>[7]Расчет_тарифа_стр.1_3!AH34</f>
        <v>0</v>
      </c>
      <c r="CA55" s="277">
        <f>[7]Расчет_тарифа_стр.1_3!AI34</f>
        <v>0</v>
      </c>
      <c r="CB55" s="277">
        <f>[7]Расчет_тарифа_стр.1_3!AJ34</f>
        <v>0</v>
      </c>
      <c r="CC55" s="277">
        <f>[7]Расчет_тарифа_стр.1_3!AK34</f>
        <v>0</v>
      </c>
      <c r="CD55" s="277">
        <f>[7]Расчет_тарифа_стр.1_3!AL34</f>
        <v>0</v>
      </c>
      <c r="CE55" s="277">
        <f>[7]Расчет_тарифа_стр.1_3!AM34</f>
        <v>0</v>
      </c>
      <c r="CF55" s="277">
        <f>[7]Расчет_тарифа_стр.1_3!AN34</f>
        <v>0</v>
      </c>
      <c r="CG55" s="277"/>
      <c r="CH55" s="277"/>
      <c r="CI55" s="124"/>
      <c r="CJ55" s="277">
        <f t="shared" si="52"/>
        <v>0</v>
      </c>
      <c r="CK55" s="277">
        <f>[7]Расчет_тарифа_стр.1_3!AQ34</f>
        <v>0</v>
      </c>
      <c r="CL55" s="277"/>
      <c r="CM55" s="277"/>
      <c r="CN55" s="124"/>
      <c r="CO55" s="124">
        <f t="shared" si="53"/>
        <v>0</v>
      </c>
      <c r="CP55" s="277">
        <f>[7]Расчет_тарифа_стр.1_3!AT34</f>
        <v>0</v>
      </c>
      <c r="CQ55" s="277"/>
      <c r="CR55" s="277"/>
      <c r="CS55" s="277">
        <f>[7]Расчет_тарифа_стр.1_3!AW34</f>
        <v>0</v>
      </c>
      <c r="CT55" s="277"/>
      <c r="CU55" s="277"/>
      <c r="CV55" s="277">
        <f>[7]Расчет_тарифа_стр.1_3!AZ34</f>
        <v>0</v>
      </c>
      <c r="CW55" s="277"/>
      <c r="CX55" s="277"/>
      <c r="CY55" s="277">
        <f>[7]Расчет_тарифа_стр.1_3!AS34</f>
        <v>0</v>
      </c>
      <c r="CZ55" s="277"/>
      <c r="DA55" s="277"/>
      <c r="DB55" s="277">
        <f>[7]Расчет_тарифа_стр.1_3!AT34</f>
        <v>0</v>
      </c>
      <c r="DC55" s="277"/>
      <c r="DD55" s="277"/>
      <c r="DE55" s="277">
        <f>[7]Расчет_тарифа_стр.1_3!AU34</f>
        <v>0</v>
      </c>
      <c r="DF55" s="277"/>
      <c r="DG55" s="277"/>
      <c r="DH55" s="277">
        <f>[7]Расчет_тарифа_стр.1_3!AV34</f>
        <v>0</v>
      </c>
      <c r="DI55" s="277"/>
      <c r="DJ55" s="277"/>
      <c r="DK55" s="277">
        <f>[7]Расчет_тарифа_стр.1_3!AW34</f>
        <v>0</v>
      </c>
      <c r="DL55" s="277"/>
      <c r="DM55" s="277"/>
      <c r="DN55" s="277">
        <f>[7]Расчет_тарифа_стр.1_3!AX34</f>
        <v>0</v>
      </c>
      <c r="DO55" s="277"/>
      <c r="DP55" s="277"/>
      <c r="DQ55" s="277">
        <f>[7]Расчет_тарифа_стр.1_3!AY34</f>
        <v>0</v>
      </c>
      <c r="DR55" s="277"/>
      <c r="DS55" s="277"/>
      <c r="DT55" s="277">
        <f>[7]Расчет_тарифа_стр.1_3!AZ34</f>
        <v>0</v>
      </c>
      <c r="DU55" s="277"/>
      <c r="DV55" s="277"/>
      <c r="DW55" s="277">
        <f>[7]Расчет_тарифа_стр.1_3!BA34</f>
        <v>0</v>
      </c>
      <c r="DX55" s="277"/>
      <c r="DY55" s="277"/>
      <c r="DZ55" s="277">
        <f>[7]Расчет_тарифа_стр.1_3!BB34</f>
        <v>0</v>
      </c>
      <c r="EA55" s="277"/>
      <c r="EB55" s="277"/>
      <c r="EC55" s="277">
        <f>[7]Расчет_тарифа_стр.1_3!BC34</f>
        <v>0</v>
      </c>
      <c r="ED55" s="277"/>
      <c r="EE55" s="277"/>
      <c r="EF55" s="277">
        <f>[7]Расчет_тарифа_стр.1_3!BD34</f>
        <v>0</v>
      </c>
      <c r="EG55" s="277"/>
      <c r="EH55" s="277"/>
      <c r="EI55" s="277">
        <f>[7]Расчет_тарифа_стр.1_3!BE34</f>
        <v>0</v>
      </c>
      <c r="EJ55" s="277"/>
      <c r="EK55" s="277"/>
      <c r="EL55" s="277">
        <f>[7]Расчет_тарифа_стр.1_3!BF34</f>
        <v>0</v>
      </c>
      <c r="EM55" s="277"/>
      <c r="EN55" s="277"/>
      <c r="EO55" s="277"/>
      <c r="EP55" s="277"/>
      <c r="EQ55" s="277"/>
    </row>
    <row r="56" spans="1:147" ht="345" hidden="1" customHeight="1" outlineLevel="1">
      <c r="A56" s="125" t="s">
        <v>434</v>
      </c>
      <c r="B56" s="126" t="s">
        <v>435</v>
      </c>
      <c r="C56" s="122"/>
      <c r="D56" s="124">
        <f>[7]Расчет_тарифа_стр.1_3!D35</f>
        <v>0</v>
      </c>
      <c r="E56" s="124">
        <f>[7]Расчет_тарифа_стр.1_3!E35</f>
        <v>0</v>
      </c>
      <c r="F56" s="124">
        <f>[7]Расчет_тарифа_стр.1_3!F35</f>
        <v>0</v>
      </c>
      <c r="G56" s="124">
        <f>[7]Расчет_тарифа_стр.1_3!G35</f>
        <v>0</v>
      </c>
      <c r="H56" s="124">
        <f>[7]Расчет_тарифа_стр.1_3!H35</f>
        <v>0</v>
      </c>
      <c r="I56" s="124">
        <f>[7]Расчет_тарифа_стр.1_3!I35</f>
        <v>0</v>
      </c>
      <c r="J56" s="124">
        <f>[7]Расчет_тарифа_стр.1_3!J35</f>
        <v>0</v>
      </c>
      <c r="K56" s="124">
        <f>[7]Расчет_тарифа_стр.1_3!K35</f>
        <v>0</v>
      </c>
      <c r="L56" s="124">
        <f>[7]Расчет_тарифа_стр.1_3!L35</f>
        <v>0</v>
      </c>
      <c r="M56" s="124"/>
      <c r="N56" s="124"/>
      <c r="O56" s="124"/>
      <c r="P56" s="124">
        <f t="shared" si="50"/>
        <v>0</v>
      </c>
      <c r="Q56" s="124">
        <f>[7]Расчет_тарифа_стр.1_3!M35</f>
        <v>0</v>
      </c>
      <c r="R56" s="124"/>
      <c r="S56" s="124"/>
      <c r="T56" s="124">
        <f>[8]Расчет_тарифа_стр.1_3!P32</f>
        <v>0</v>
      </c>
      <c r="U56" s="124">
        <f t="shared" si="51"/>
        <v>0</v>
      </c>
      <c r="V56" s="124">
        <f>[7]Расчет_тарифа_стр.1_3!N35</f>
        <v>0</v>
      </c>
      <c r="W56" s="124"/>
      <c r="X56" s="124"/>
      <c r="Y56" s="124">
        <f>[7]Расчет_тарифа_стр.1_3!Q35</f>
        <v>0</v>
      </c>
      <c r="Z56" s="124"/>
      <c r="AA56" s="124"/>
      <c r="AB56" s="124">
        <f>[7]Расчет_тарифа_стр.1_3!P35</f>
        <v>0</v>
      </c>
      <c r="AC56" s="124"/>
      <c r="AD56" s="124"/>
      <c r="AE56" s="124">
        <f>[7]Расчет_тарифа_стр.1_3!Q35</f>
        <v>0</v>
      </c>
      <c r="AF56" s="124"/>
      <c r="AG56" s="124"/>
      <c r="AH56" s="124">
        <f>[7]Расчет_тарифа_стр.1_3!R35</f>
        <v>0</v>
      </c>
      <c r="AI56" s="124"/>
      <c r="AJ56" s="124"/>
      <c r="AK56" s="124">
        <f>[7]Расчет_тарифа_стр.1_3!S35</f>
        <v>0</v>
      </c>
      <c r="AL56" s="124"/>
      <c r="AM56" s="124"/>
      <c r="AN56" s="124">
        <f>[7]Расчет_тарифа_стр.1_3!T35</f>
        <v>0</v>
      </c>
      <c r="AO56" s="124"/>
      <c r="AP56" s="124"/>
      <c r="AQ56" s="124">
        <f>[7]Расчет_тарифа_стр.1_3!U35</f>
        <v>0</v>
      </c>
      <c r="AR56" s="124"/>
      <c r="AS56" s="124"/>
      <c r="AT56" s="124">
        <f>[7]Расчет_тарифа_стр.1_3!V35</f>
        <v>0</v>
      </c>
      <c r="AU56" s="124"/>
      <c r="AV56" s="124"/>
      <c r="AW56" s="124">
        <f>[7]Расчет_тарифа_стр.1_3!W35</f>
        <v>0</v>
      </c>
      <c r="AX56" s="124"/>
      <c r="AY56" s="124"/>
      <c r="AZ56" s="124">
        <f>[7]Расчет_тарифа_стр.1_3!X35</f>
        <v>0</v>
      </c>
      <c r="BA56" s="124"/>
      <c r="BB56" s="124"/>
      <c r="BC56" s="124">
        <f>[7]Расчет_тарифа_стр.1_3!Y35</f>
        <v>0</v>
      </c>
      <c r="BD56" s="124"/>
      <c r="BE56" s="124"/>
      <c r="BF56" s="124">
        <f>[7]Расчет_тарифа_стр.1_3!Z35</f>
        <v>0</v>
      </c>
      <c r="BG56" s="124"/>
      <c r="BH56" s="124"/>
      <c r="BI56" s="124">
        <f>[7]Расчет_тарифа_стр.1_3!AA35</f>
        <v>0</v>
      </c>
      <c r="BJ56" s="124"/>
      <c r="BK56" s="124"/>
      <c r="BL56" s="124">
        <f>[7]Расчет_тарифа_стр.1_3!AB35</f>
        <v>0</v>
      </c>
      <c r="BM56" s="124"/>
      <c r="BN56" s="124"/>
      <c r="BO56" s="124">
        <f>[7]Расчет_тарифа_стр.1_3!AC35</f>
        <v>0</v>
      </c>
      <c r="BP56" s="124"/>
      <c r="BQ56" s="124"/>
      <c r="BR56" s="124">
        <f>[7]Расчет_тарифа_стр.1_3!AD35</f>
        <v>0</v>
      </c>
      <c r="BS56" s="124"/>
      <c r="BT56" s="124"/>
      <c r="BU56" s="124"/>
      <c r="BV56" s="124"/>
      <c r="BW56" s="124"/>
      <c r="BX56" s="276">
        <f>[7]Расчет_тарифа_стр.1_3!AF35</f>
        <v>0</v>
      </c>
      <c r="BY56" s="277">
        <f>[7]Расчет_тарифа_стр.1_3!AG35</f>
        <v>0</v>
      </c>
      <c r="BZ56" s="277">
        <f>[7]Расчет_тарифа_стр.1_3!AH35</f>
        <v>0</v>
      </c>
      <c r="CA56" s="277">
        <f>[7]Расчет_тарифа_стр.1_3!AI35</f>
        <v>0</v>
      </c>
      <c r="CB56" s="277">
        <f>[7]Расчет_тарифа_стр.1_3!AJ35</f>
        <v>0</v>
      </c>
      <c r="CC56" s="277">
        <f>[7]Расчет_тарифа_стр.1_3!AK35</f>
        <v>0</v>
      </c>
      <c r="CD56" s="277">
        <f>[7]Расчет_тарифа_стр.1_3!AL35</f>
        <v>0</v>
      </c>
      <c r="CE56" s="277">
        <f>[7]Расчет_тарифа_стр.1_3!AM35</f>
        <v>0</v>
      </c>
      <c r="CF56" s="277">
        <f>[7]Расчет_тарифа_стр.1_3!AN35</f>
        <v>0</v>
      </c>
      <c r="CG56" s="277"/>
      <c r="CH56" s="277"/>
      <c r="CI56" s="124"/>
      <c r="CJ56" s="277">
        <f t="shared" si="52"/>
        <v>0</v>
      </c>
      <c r="CK56" s="277">
        <f>[7]Расчет_тарифа_стр.1_3!AQ35</f>
        <v>0</v>
      </c>
      <c r="CL56" s="277"/>
      <c r="CM56" s="277"/>
      <c r="CN56" s="124"/>
      <c r="CO56" s="124">
        <f t="shared" si="53"/>
        <v>0</v>
      </c>
      <c r="CP56" s="277">
        <f>[7]Расчет_тарифа_стр.1_3!AT35</f>
        <v>0</v>
      </c>
      <c r="CQ56" s="277"/>
      <c r="CR56" s="277"/>
      <c r="CS56" s="277">
        <f>[7]Расчет_тарифа_стр.1_3!AW35</f>
        <v>0</v>
      </c>
      <c r="CT56" s="277"/>
      <c r="CU56" s="277"/>
      <c r="CV56" s="277">
        <f>[7]Расчет_тарифа_стр.1_3!AZ35</f>
        <v>0</v>
      </c>
      <c r="CW56" s="277"/>
      <c r="CX56" s="277"/>
      <c r="CY56" s="277">
        <f>[7]Расчет_тарифа_стр.1_3!AS35</f>
        <v>0</v>
      </c>
      <c r="CZ56" s="277"/>
      <c r="DA56" s="277"/>
      <c r="DB56" s="277">
        <f>[7]Расчет_тарифа_стр.1_3!AT35</f>
        <v>0</v>
      </c>
      <c r="DC56" s="277"/>
      <c r="DD56" s="277"/>
      <c r="DE56" s="277">
        <f>[7]Расчет_тарифа_стр.1_3!AU35</f>
        <v>0</v>
      </c>
      <c r="DF56" s="277"/>
      <c r="DG56" s="277"/>
      <c r="DH56" s="277">
        <f>[7]Расчет_тарифа_стр.1_3!AV35</f>
        <v>0</v>
      </c>
      <c r="DI56" s="277"/>
      <c r="DJ56" s="277"/>
      <c r="DK56" s="277">
        <f>[7]Расчет_тарифа_стр.1_3!AW35</f>
        <v>0</v>
      </c>
      <c r="DL56" s="277"/>
      <c r="DM56" s="277"/>
      <c r="DN56" s="277">
        <f>[7]Расчет_тарифа_стр.1_3!AX35</f>
        <v>0</v>
      </c>
      <c r="DO56" s="277"/>
      <c r="DP56" s="277"/>
      <c r="DQ56" s="277">
        <f>[7]Расчет_тарифа_стр.1_3!AY35</f>
        <v>0</v>
      </c>
      <c r="DR56" s="277"/>
      <c r="DS56" s="277"/>
      <c r="DT56" s="277">
        <f>[7]Расчет_тарифа_стр.1_3!AZ35</f>
        <v>0</v>
      </c>
      <c r="DU56" s="277"/>
      <c r="DV56" s="277"/>
      <c r="DW56" s="277">
        <f>[7]Расчет_тарифа_стр.1_3!BA35</f>
        <v>0</v>
      </c>
      <c r="DX56" s="277"/>
      <c r="DY56" s="277"/>
      <c r="DZ56" s="277">
        <f>[7]Расчет_тарифа_стр.1_3!BB35</f>
        <v>0</v>
      </c>
      <c r="EA56" s="277"/>
      <c r="EB56" s="277"/>
      <c r="EC56" s="277">
        <f>[7]Расчет_тарифа_стр.1_3!BC35</f>
        <v>0</v>
      </c>
      <c r="ED56" s="277"/>
      <c r="EE56" s="277"/>
      <c r="EF56" s="277">
        <f>[7]Расчет_тарифа_стр.1_3!BD35</f>
        <v>0</v>
      </c>
      <c r="EG56" s="277"/>
      <c r="EH56" s="277"/>
      <c r="EI56" s="277">
        <f>[7]Расчет_тарифа_стр.1_3!BE35</f>
        <v>0</v>
      </c>
      <c r="EJ56" s="277"/>
      <c r="EK56" s="277"/>
      <c r="EL56" s="277">
        <f>[7]Расчет_тарифа_стр.1_3!BF35</f>
        <v>0</v>
      </c>
      <c r="EM56" s="277"/>
      <c r="EN56" s="277"/>
      <c r="EO56" s="277"/>
      <c r="EP56" s="277"/>
      <c r="EQ56" s="277"/>
    </row>
    <row r="57" spans="1:147" ht="45" hidden="1" customHeight="1" outlineLevel="1">
      <c r="A57" s="125" t="s">
        <v>436</v>
      </c>
      <c r="B57" s="126" t="s">
        <v>437</v>
      </c>
      <c r="C57" s="122"/>
      <c r="D57" s="124">
        <f>[7]Расчет_тарифа_стр.1_3!D36</f>
        <v>0</v>
      </c>
      <c r="E57" s="124">
        <f>[7]Расчет_тарифа_стр.1_3!E36</f>
        <v>0</v>
      </c>
      <c r="F57" s="124">
        <f>[7]Расчет_тарифа_стр.1_3!F36</f>
        <v>0</v>
      </c>
      <c r="G57" s="124">
        <f>[7]Расчет_тарифа_стр.1_3!G36</f>
        <v>0</v>
      </c>
      <c r="H57" s="124">
        <f>[7]Расчет_тарифа_стр.1_3!H36</f>
        <v>0</v>
      </c>
      <c r="I57" s="124">
        <f>[7]Расчет_тарифа_стр.1_3!I36</f>
        <v>0</v>
      </c>
      <c r="J57" s="124">
        <f>[7]Расчет_тарифа_стр.1_3!J36</f>
        <v>0</v>
      </c>
      <c r="K57" s="124">
        <f>[7]Расчет_тарифа_стр.1_3!K36</f>
        <v>0</v>
      </c>
      <c r="L57" s="124">
        <f>[7]Расчет_тарифа_стр.1_3!L36</f>
        <v>0</v>
      </c>
      <c r="M57" s="124"/>
      <c r="N57" s="124"/>
      <c r="O57" s="124"/>
      <c r="P57" s="124">
        <f t="shared" si="50"/>
        <v>0</v>
      </c>
      <c r="Q57" s="124">
        <f>[7]Расчет_тарифа_стр.1_3!M36</f>
        <v>0</v>
      </c>
      <c r="R57" s="124"/>
      <c r="S57" s="124"/>
      <c r="T57" s="124">
        <f>[8]Расчет_тарифа_стр.1_3!P33</f>
        <v>0</v>
      </c>
      <c r="U57" s="124">
        <f t="shared" si="51"/>
        <v>0</v>
      </c>
      <c r="V57" s="124">
        <f>[7]Расчет_тарифа_стр.1_3!N36</f>
        <v>0</v>
      </c>
      <c r="W57" s="124"/>
      <c r="X57" s="124"/>
      <c r="Y57" s="124">
        <f>[7]Расчет_тарифа_стр.1_3!Q36</f>
        <v>0</v>
      </c>
      <c r="Z57" s="124"/>
      <c r="AA57" s="124"/>
      <c r="AB57" s="124">
        <f>[7]Расчет_тарифа_стр.1_3!P36</f>
        <v>0</v>
      </c>
      <c r="AC57" s="124"/>
      <c r="AD57" s="124"/>
      <c r="AE57" s="124">
        <f>[7]Расчет_тарифа_стр.1_3!Q36</f>
        <v>0</v>
      </c>
      <c r="AF57" s="124"/>
      <c r="AG57" s="124"/>
      <c r="AH57" s="124">
        <f>[7]Расчет_тарифа_стр.1_3!R36</f>
        <v>0</v>
      </c>
      <c r="AI57" s="124"/>
      <c r="AJ57" s="124"/>
      <c r="AK57" s="124">
        <f>[7]Расчет_тарифа_стр.1_3!S36</f>
        <v>0</v>
      </c>
      <c r="AL57" s="124"/>
      <c r="AM57" s="124"/>
      <c r="AN57" s="124">
        <f>[7]Расчет_тарифа_стр.1_3!T36</f>
        <v>0</v>
      </c>
      <c r="AO57" s="124"/>
      <c r="AP57" s="124"/>
      <c r="AQ57" s="124">
        <f>[7]Расчет_тарифа_стр.1_3!U36</f>
        <v>0</v>
      </c>
      <c r="AR57" s="124"/>
      <c r="AS57" s="124"/>
      <c r="AT57" s="124">
        <f>[7]Расчет_тарифа_стр.1_3!V36</f>
        <v>0</v>
      </c>
      <c r="AU57" s="124"/>
      <c r="AV57" s="124"/>
      <c r="AW57" s="124">
        <f>[7]Расчет_тарифа_стр.1_3!W36</f>
        <v>0</v>
      </c>
      <c r="AX57" s="124"/>
      <c r="AY57" s="124"/>
      <c r="AZ57" s="124">
        <f>[7]Расчет_тарифа_стр.1_3!X36</f>
        <v>0</v>
      </c>
      <c r="BA57" s="124"/>
      <c r="BB57" s="124"/>
      <c r="BC57" s="124">
        <f>[7]Расчет_тарифа_стр.1_3!Y36</f>
        <v>0</v>
      </c>
      <c r="BD57" s="124"/>
      <c r="BE57" s="124"/>
      <c r="BF57" s="124">
        <f>[7]Расчет_тарифа_стр.1_3!Z36</f>
        <v>0</v>
      </c>
      <c r="BG57" s="124"/>
      <c r="BH57" s="124"/>
      <c r="BI57" s="124">
        <f>[7]Расчет_тарифа_стр.1_3!AA36</f>
        <v>0</v>
      </c>
      <c r="BJ57" s="124"/>
      <c r="BK57" s="124"/>
      <c r="BL57" s="124">
        <f>[7]Расчет_тарифа_стр.1_3!AB36</f>
        <v>0</v>
      </c>
      <c r="BM57" s="124"/>
      <c r="BN57" s="124"/>
      <c r="BO57" s="124">
        <f>[7]Расчет_тарифа_стр.1_3!AC36</f>
        <v>0</v>
      </c>
      <c r="BP57" s="124"/>
      <c r="BQ57" s="124"/>
      <c r="BR57" s="124">
        <f>[7]Расчет_тарифа_стр.1_3!AD36</f>
        <v>0</v>
      </c>
      <c r="BS57" s="124"/>
      <c r="BT57" s="124"/>
      <c r="BU57" s="124"/>
      <c r="BV57" s="124"/>
      <c r="BW57" s="124"/>
      <c r="BX57" s="276">
        <f>[7]Расчет_тарифа_стр.1_3!AF36</f>
        <v>0</v>
      </c>
      <c r="BY57" s="277">
        <f>[7]Расчет_тарифа_стр.1_3!AG36</f>
        <v>0</v>
      </c>
      <c r="BZ57" s="277">
        <f>[7]Расчет_тарифа_стр.1_3!AH36</f>
        <v>0</v>
      </c>
      <c r="CA57" s="277">
        <f>[7]Расчет_тарифа_стр.1_3!AI36</f>
        <v>0</v>
      </c>
      <c r="CB57" s="277">
        <f>[7]Расчет_тарифа_стр.1_3!AJ36</f>
        <v>0</v>
      </c>
      <c r="CC57" s="277">
        <f>[7]Расчет_тарифа_стр.1_3!AK36</f>
        <v>0</v>
      </c>
      <c r="CD57" s="277">
        <f>[7]Расчет_тарифа_стр.1_3!AL36</f>
        <v>0</v>
      </c>
      <c r="CE57" s="277">
        <f>[7]Расчет_тарифа_стр.1_3!AM36</f>
        <v>0</v>
      </c>
      <c r="CF57" s="277">
        <f>[7]Расчет_тарифа_стр.1_3!AN36</f>
        <v>0</v>
      </c>
      <c r="CG57" s="277"/>
      <c r="CH57" s="277"/>
      <c r="CI57" s="124"/>
      <c r="CJ57" s="277">
        <f t="shared" si="52"/>
        <v>0</v>
      </c>
      <c r="CK57" s="277">
        <f>[7]Расчет_тарифа_стр.1_3!AQ36</f>
        <v>0</v>
      </c>
      <c r="CL57" s="277"/>
      <c r="CM57" s="277"/>
      <c r="CN57" s="124"/>
      <c r="CO57" s="124">
        <f t="shared" si="53"/>
        <v>0</v>
      </c>
      <c r="CP57" s="277">
        <f>[7]Расчет_тарифа_стр.1_3!AT36</f>
        <v>0</v>
      </c>
      <c r="CQ57" s="277"/>
      <c r="CR57" s="277"/>
      <c r="CS57" s="277">
        <f>[7]Расчет_тарифа_стр.1_3!AW36</f>
        <v>0</v>
      </c>
      <c r="CT57" s="277"/>
      <c r="CU57" s="277"/>
      <c r="CV57" s="277">
        <f>[7]Расчет_тарифа_стр.1_3!AZ36</f>
        <v>0</v>
      </c>
      <c r="CW57" s="277"/>
      <c r="CX57" s="277"/>
      <c r="CY57" s="277">
        <f>[7]Расчет_тарифа_стр.1_3!AS36</f>
        <v>0</v>
      </c>
      <c r="CZ57" s="277"/>
      <c r="DA57" s="277"/>
      <c r="DB57" s="277">
        <f>[7]Расчет_тарифа_стр.1_3!AT36</f>
        <v>0</v>
      </c>
      <c r="DC57" s="277"/>
      <c r="DD57" s="277"/>
      <c r="DE57" s="277">
        <f>[7]Расчет_тарифа_стр.1_3!AU36</f>
        <v>0</v>
      </c>
      <c r="DF57" s="277"/>
      <c r="DG57" s="277"/>
      <c r="DH57" s="277">
        <f>[7]Расчет_тарифа_стр.1_3!AV36</f>
        <v>0</v>
      </c>
      <c r="DI57" s="277"/>
      <c r="DJ57" s="277"/>
      <c r="DK57" s="277">
        <f>[7]Расчет_тарифа_стр.1_3!AW36</f>
        <v>0</v>
      </c>
      <c r="DL57" s="277"/>
      <c r="DM57" s="277"/>
      <c r="DN57" s="277">
        <f>[7]Расчет_тарифа_стр.1_3!AX36</f>
        <v>0</v>
      </c>
      <c r="DO57" s="277"/>
      <c r="DP57" s="277"/>
      <c r="DQ57" s="277">
        <f>[7]Расчет_тарифа_стр.1_3!AY36</f>
        <v>0</v>
      </c>
      <c r="DR57" s="277"/>
      <c r="DS57" s="277"/>
      <c r="DT57" s="277">
        <f>[7]Расчет_тарифа_стр.1_3!AZ36</f>
        <v>0</v>
      </c>
      <c r="DU57" s="277"/>
      <c r="DV57" s="277"/>
      <c r="DW57" s="277">
        <f>[7]Расчет_тарифа_стр.1_3!BA36</f>
        <v>0</v>
      </c>
      <c r="DX57" s="277"/>
      <c r="DY57" s="277"/>
      <c r="DZ57" s="277">
        <f>[7]Расчет_тарифа_стр.1_3!BB36</f>
        <v>0</v>
      </c>
      <c r="EA57" s="277"/>
      <c r="EB57" s="277"/>
      <c r="EC57" s="277">
        <f>[7]Расчет_тарифа_стр.1_3!BC36</f>
        <v>0</v>
      </c>
      <c r="ED57" s="277"/>
      <c r="EE57" s="277"/>
      <c r="EF57" s="277">
        <f>[7]Расчет_тарифа_стр.1_3!BD36</f>
        <v>0</v>
      </c>
      <c r="EG57" s="277"/>
      <c r="EH57" s="277"/>
      <c r="EI57" s="277">
        <f>[7]Расчет_тарифа_стр.1_3!BE36</f>
        <v>0</v>
      </c>
      <c r="EJ57" s="277"/>
      <c r="EK57" s="277"/>
      <c r="EL57" s="277">
        <f>[7]Расчет_тарифа_стр.1_3!BF36</f>
        <v>0</v>
      </c>
      <c r="EM57" s="277"/>
      <c r="EN57" s="277"/>
      <c r="EO57" s="277"/>
      <c r="EP57" s="277"/>
      <c r="EQ57" s="277"/>
    </row>
    <row r="58" spans="1:147" ht="45" hidden="1" customHeight="1">
      <c r="A58" s="599" t="s">
        <v>438</v>
      </c>
      <c r="B58" s="599"/>
      <c r="C58" s="599"/>
      <c r="D58" s="275" t="s">
        <v>439</v>
      </c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>
        <f t="shared" si="50"/>
        <v>0</v>
      </c>
      <c r="Q58" s="276"/>
      <c r="R58" s="276"/>
      <c r="S58" s="276"/>
      <c r="T58" s="124"/>
      <c r="U58" s="276">
        <f t="shared" si="51"/>
        <v>0</v>
      </c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>
        <f t="shared" si="52"/>
        <v>0</v>
      </c>
      <c r="CK58" s="276"/>
      <c r="CL58" s="276"/>
      <c r="CM58" s="276"/>
      <c r="CN58" s="124"/>
      <c r="CO58" s="276">
        <f t="shared" si="53"/>
        <v>0</v>
      </c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82"/>
    </row>
    <row r="59" spans="1:147" ht="28.5">
      <c r="A59" s="137">
        <v>3</v>
      </c>
      <c r="B59" s="138" t="s">
        <v>440</v>
      </c>
      <c r="C59" s="139" t="s">
        <v>349</v>
      </c>
      <c r="D59" s="142">
        <f>[7]Расчет_тарифа_стр.1_3!D63</f>
        <v>258649.72127046899</v>
      </c>
      <c r="E59" s="142">
        <f>[7]Расчет_тарифа_стр.1_3!E63</f>
        <v>130096.390975066</v>
      </c>
      <c r="F59" s="142">
        <f>[7]Расчет_тарифа_стр.1_3!F63</f>
        <v>128553.33029540299</v>
      </c>
      <c r="G59" s="142">
        <f>[7]Расчет_тарифа_стр.1_3!G63</f>
        <v>269194</v>
      </c>
      <c r="H59" s="142">
        <f>[7]Расчет_тарифа_стр.1_3!H63</f>
        <v>280378.30709039699</v>
      </c>
      <c r="I59" s="142">
        <f>[7]Расчет_тарифа_стр.1_3!I63</f>
        <v>143181.70759575599</v>
      </c>
      <c r="J59" s="142">
        <f>[7]Расчет_тарифа_стр.1_3!J63</f>
        <v>137196.59949464101</v>
      </c>
      <c r="K59" s="142">
        <f>[7]Расчет_тарифа_стр.1_3!K63</f>
        <v>0</v>
      </c>
      <c r="L59" s="142">
        <f t="shared" ref="L59:Q59" si="70">L10+L46+L47+L50+L51</f>
        <v>281959.05822612392</v>
      </c>
      <c r="M59" s="142">
        <v>137915.47025909499</v>
      </c>
      <c r="N59" s="142">
        <f>L59-M59</f>
        <v>144043.58796702893</v>
      </c>
      <c r="O59" s="142">
        <f t="shared" si="70"/>
        <v>295407.66202719801</v>
      </c>
      <c r="P59" s="142">
        <f t="shared" si="50"/>
        <v>13448.603801074089</v>
      </c>
      <c r="Q59" s="142">
        <f t="shared" si="70"/>
        <v>300280.06329327391</v>
      </c>
      <c r="R59" s="142">
        <v>159844.03532647601</v>
      </c>
      <c r="S59" s="142">
        <f>Q59-R59</f>
        <v>140436.0279667979</v>
      </c>
      <c r="T59" s="124">
        <f t="shared" ref="T59:Y59" si="71">T10+T46+T47+T50+T51</f>
        <v>306524.90615</v>
      </c>
      <c r="U59" s="142">
        <f t="shared" si="51"/>
        <v>6244.8428567260853</v>
      </c>
      <c r="V59" s="142">
        <f t="shared" si="71"/>
        <v>318798.25542105373</v>
      </c>
      <c r="W59" s="142">
        <f>W65/1.18*W61+W66*W62+W67*W63</f>
        <v>156299.76904715406</v>
      </c>
      <c r="X59" s="142">
        <f>V59-W59</f>
        <v>162498.48637389968</v>
      </c>
      <c r="Y59" s="142">
        <f t="shared" si="71"/>
        <v>332273.71192935563</v>
      </c>
      <c r="Z59" s="142">
        <v>181423.71371511501</v>
      </c>
      <c r="AA59" s="142">
        <f>Y59-Z59-0.01</f>
        <v>150849.98821424061</v>
      </c>
      <c r="AB59" s="142">
        <f>AB10+AB46+AB47+AB50+AB51</f>
        <v>345336.81986600219</v>
      </c>
      <c r="AC59" s="142">
        <v>168981.62687761601</v>
      </c>
      <c r="AD59" s="142">
        <v>176355.202988387</v>
      </c>
      <c r="AE59" s="142">
        <f t="shared" ref="AE59:BW59" si="72">AB59</f>
        <v>345336.81986600219</v>
      </c>
      <c r="AF59" s="142">
        <f t="shared" si="72"/>
        <v>168981.62687761601</v>
      </c>
      <c r="AG59" s="142">
        <f t="shared" si="72"/>
        <v>176355.202988387</v>
      </c>
      <c r="AH59" s="142">
        <f t="shared" si="72"/>
        <v>345336.81986600219</v>
      </c>
      <c r="AI59" s="142">
        <f t="shared" si="72"/>
        <v>168981.62687761601</v>
      </c>
      <c r="AJ59" s="142">
        <f t="shared" si="72"/>
        <v>176355.202988387</v>
      </c>
      <c r="AK59" s="142">
        <f t="shared" si="72"/>
        <v>345336.81986600219</v>
      </c>
      <c r="AL59" s="142">
        <f t="shared" si="72"/>
        <v>168981.62687761601</v>
      </c>
      <c r="AM59" s="142">
        <f t="shared" si="72"/>
        <v>176355.202988387</v>
      </c>
      <c r="AN59" s="142">
        <f t="shared" si="72"/>
        <v>345336.81986600219</v>
      </c>
      <c r="AO59" s="142">
        <f t="shared" si="72"/>
        <v>168981.62687761601</v>
      </c>
      <c r="AP59" s="142">
        <f t="shared" si="72"/>
        <v>176355.202988387</v>
      </c>
      <c r="AQ59" s="142">
        <f t="shared" si="72"/>
        <v>345336.81986600219</v>
      </c>
      <c r="AR59" s="142">
        <f t="shared" si="72"/>
        <v>168981.62687761601</v>
      </c>
      <c r="AS59" s="142">
        <f t="shared" si="72"/>
        <v>176355.202988387</v>
      </c>
      <c r="AT59" s="142">
        <f t="shared" si="72"/>
        <v>345336.81986600219</v>
      </c>
      <c r="AU59" s="142">
        <f t="shared" si="72"/>
        <v>168981.62687761601</v>
      </c>
      <c r="AV59" s="142">
        <f t="shared" si="72"/>
        <v>176355.202988387</v>
      </c>
      <c r="AW59" s="142">
        <f t="shared" si="72"/>
        <v>345336.81986600219</v>
      </c>
      <c r="AX59" s="142">
        <f t="shared" si="72"/>
        <v>168981.62687761601</v>
      </c>
      <c r="AY59" s="142">
        <f t="shared" si="72"/>
        <v>176355.202988387</v>
      </c>
      <c r="AZ59" s="142">
        <f t="shared" si="72"/>
        <v>345336.81986600219</v>
      </c>
      <c r="BA59" s="142">
        <f t="shared" si="72"/>
        <v>168981.62687761601</v>
      </c>
      <c r="BB59" s="142">
        <f t="shared" si="72"/>
        <v>176355.202988387</v>
      </c>
      <c r="BC59" s="142">
        <f t="shared" si="72"/>
        <v>345336.81986600219</v>
      </c>
      <c r="BD59" s="142">
        <f t="shared" si="72"/>
        <v>168981.62687761601</v>
      </c>
      <c r="BE59" s="142">
        <f t="shared" si="72"/>
        <v>176355.202988387</v>
      </c>
      <c r="BF59" s="142">
        <f t="shared" si="72"/>
        <v>345336.81986600219</v>
      </c>
      <c r="BG59" s="142">
        <f t="shared" si="72"/>
        <v>168981.62687761601</v>
      </c>
      <c r="BH59" s="142">
        <f t="shared" si="72"/>
        <v>176355.202988387</v>
      </c>
      <c r="BI59" s="142">
        <f t="shared" si="72"/>
        <v>345336.81986600219</v>
      </c>
      <c r="BJ59" s="142">
        <f t="shared" si="72"/>
        <v>168981.62687761601</v>
      </c>
      <c r="BK59" s="142">
        <f t="shared" si="72"/>
        <v>176355.202988387</v>
      </c>
      <c r="BL59" s="142">
        <f t="shared" si="72"/>
        <v>345336.81986600219</v>
      </c>
      <c r="BM59" s="142">
        <f t="shared" si="72"/>
        <v>168981.62687761601</v>
      </c>
      <c r="BN59" s="142">
        <f t="shared" si="72"/>
        <v>176355.202988387</v>
      </c>
      <c r="BO59" s="142">
        <f t="shared" si="72"/>
        <v>345336.81986600219</v>
      </c>
      <c r="BP59" s="142">
        <f t="shared" si="72"/>
        <v>168981.62687761601</v>
      </c>
      <c r="BQ59" s="142">
        <f t="shared" si="72"/>
        <v>176355.202988387</v>
      </c>
      <c r="BR59" s="142">
        <f t="shared" si="72"/>
        <v>345336.81986600219</v>
      </c>
      <c r="BS59" s="142">
        <f t="shared" si="72"/>
        <v>168981.62687761601</v>
      </c>
      <c r="BT59" s="142">
        <f t="shared" si="72"/>
        <v>176355.202988387</v>
      </c>
      <c r="BU59" s="142">
        <f t="shared" si="72"/>
        <v>345336.81986600219</v>
      </c>
      <c r="BV59" s="142">
        <f t="shared" si="72"/>
        <v>168981.62687761601</v>
      </c>
      <c r="BW59" s="142">
        <f t="shared" si="72"/>
        <v>176355.202988387</v>
      </c>
      <c r="BX59" s="142">
        <v>182819.06208306699</v>
      </c>
      <c r="BY59" s="142">
        <v>86386.9235640759</v>
      </c>
      <c r="BZ59" s="142">
        <v>96432.138518991604</v>
      </c>
      <c r="CA59" s="142">
        <v>183166</v>
      </c>
      <c r="CB59" s="142">
        <v>198118.199952316</v>
      </c>
      <c r="CC59" s="142">
        <v>94237.636949341395</v>
      </c>
      <c r="CD59" s="142">
        <v>103880.563002974</v>
      </c>
      <c r="CE59" s="142">
        <v>0</v>
      </c>
      <c r="CF59" s="142">
        <f t="shared" ref="CF59:CK59" si="73">CF10+CF46+CF47+CF50+CF51</f>
        <v>198515.09788640108</v>
      </c>
      <c r="CG59" s="142">
        <f>CG65/1.18*CG61+CG66*CG62+CG67*CG63</f>
        <v>93326.452823653948</v>
      </c>
      <c r="CH59" s="142">
        <f>CF59-CG59</f>
        <v>105188.64506274713</v>
      </c>
      <c r="CI59" s="142">
        <f t="shared" si="73"/>
        <v>202889.59379725871</v>
      </c>
      <c r="CJ59" s="142">
        <f t="shared" si="52"/>
        <v>4374.4959108576295</v>
      </c>
      <c r="CK59" s="142">
        <f t="shared" si="73"/>
        <v>215859.33551813531</v>
      </c>
      <c r="CL59" s="142">
        <v>108258.681838255</v>
      </c>
      <c r="CM59" s="142">
        <v>107600.64367988</v>
      </c>
      <c r="CN59" s="124">
        <f t="shared" ref="CN59:CS59" si="74">CN10+CN46+CN47+CN50+CN51</f>
        <v>212526.48333000002</v>
      </c>
      <c r="CO59" s="142">
        <f t="shared" si="53"/>
        <v>-3332.8521881352935</v>
      </c>
      <c r="CP59" s="142">
        <f t="shared" si="74"/>
        <v>225088.503555982</v>
      </c>
      <c r="CQ59" s="142">
        <f>CQ65/1.18*CQ61+CQ66*CQ62+CQ67*CQ63</f>
        <v>110741.15991978777</v>
      </c>
      <c r="CR59" s="142">
        <f>CP59-CQ59</f>
        <v>114347.34363619423</v>
      </c>
      <c r="CS59" s="142">
        <f t="shared" si="74"/>
        <v>237816.30395911561</v>
      </c>
      <c r="CT59" s="142">
        <v>117684.851359283</v>
      </c>
      <c r="CU59" s="142">
        <f>CS59-CT59</f>
        <v>120131.45259983261</v>
      </c>
      <c r="CV59" s="142">
        <f>CV10+CV46+CV47+CV50+CV51</f>
        <v>248443.08595910328</v>
      </c>
      <c r="CW59" s="142">
        <v>123637.864254261</v>
      </c>
      <c r="CX59" s="142">
        <f>CV59-CW59</f>
        <v>124805.22170484228</v>
      </c>
      <c r="CY59" s="280">
        <f t="shared" ref="CY59:EQ59" si="75">CV59</f>
        <v>248443.08595910328</v>
      </c>
      <c r="CZ59" s="142">
        <f t="shared" si="75"/>
        <v>123637.864254261</v>
      </c>
      <c r="DA59" s="142">
        <f t="shared" si="75"/>
        <v>124805.22170484228</v>
      </c>
      <c r="DB59" s="280">
        <f t="shared" si="75"/>
        <v>248443.08595910328</v>
      </c>
      <c r="DC59" s="142">
        <f t="shared" si="75"/>
        <v>123637.864254261</v>
      </c>
      <c r="DD59" s="142">
        <f t="shared" si="75"/>
        <v>124805.22170484228</v>
      </c>
      <c r="DE59" s="280">
        <f t="shared" si="75"/>
        <v>248443.08595910328</v>
      </c>
      <c r="DF59" s="142">
        <f t="shared" si="75"/>
        <v>123637.864254261</v>
      </c>
      <c r="DG59" s="142">
        <f t="shared" si="75"/>
        <v>124805.22170484228</v>
      </c>
      <c r="DH59" s="280">
        <f t="shared" si="75"/>
        <v>248443.08595910328</v>
      </c>
      <c r="DI59" s="142">
        <f t="shared" si="75"/>
        <v>123637.864254261</v>
      </c>
      <c r="DJ59" s="142">
        <f t="shared" si="75"/>
        <v>124805.22170484228</v>
      </c>
      <c r="DK59" s="280">
        <f t="shared" si="75"/>
        <v>248443.08595910328</v>
      </c>
      <c r="DL59" s="142">
        <f t="shared" si="75"/>
        <v>123637.864254261</v>
      </c>
      <c r="DM59" s="142">
        <f t="shared" si="75"/>
        <v>124805.22170484228</v>
      </c>
      <c r="DN59" s="280">
        <f t="shared" si="75"/>
        <v>248443.08595910328</v>
      </c>
      <c r="DO59" s="142">
        <f t="shared" si="75"/>
        <v>123637.864254261</v>
      </c>
      <c r="DP59" s="142">
        <f t="shared" si="75"/>
        <v>124805.22170484228</v>
      </c>
      <c r="DQ59" s="280">
        <f t="shared" si="75"/>
        <v>248443.08595910328</v>
      </c>
      <c r="DR59" s="142">
        <f t="shared" si="75"/>
        <v>123637.864254261</v>
      </c>
      <c r="DS59" s="142">
        <f t="shared" si="75"/>
        <v>124805.22170484228</v>
      </c>
      <c r="DT59" s="280">
        <f t="shared" si="75"/>
        <v>248443.08595910328</v>
      </c>
      <c r="DU59" s="142">
        <f t="shared" si="75"/>
        <v>123637.864254261</v>
      </c>
      <c r="DV59" s="142">
        <f t="shared" si="75"/>
        <v>124805.22170484228</v>
      </c>
      <c r="DW59" s="280">
        <f t="shared" si="75"/>
        <v>248443.08595910328</v>
      </c>
      <c r="DX59" s="142">
        <f t="shared" si="75"/>
        <v>123637.864254261</v>
      </c>
      <c r="DY59" s="142">
        <f t="shared" si="75"/>
        <v>124805.22170484228</v>
      </c>
      <c r="DZ59" s="280">
        <f t="shared" si="75"/>
        <v>248443.08595910328</v>
      </c>
      <c r="EA59" s="142">
        <f t="shared" si="75"/>
        <v>123637.864254261</v>
      </c>
      <c r="EB59" s="142">
        <f t="shared" si="75"/>
        <v>124805.22170484228</v>
      </c>
      <c r="EC59" s="280">
        <f t="shared" si="75"/>
        <v>248443.08595910328</v>
      </c>
      <c r="ED59" s="142">
        <f t="shared" si="75"/>
        <v>123637.864254261</v>
      </c>
      <c r="EE59" s="142">
        <f t="shared" si="75"/>
        <v>124805.22170484228</v>
      </c>
      <c r="EF59" s="280">
        <f t="shared" si="75"/>
        <v>248443.08595910328</v>
      </c>
      <c r="EG59" s="142">
        <f t="shared" si="75"/>
        <v>123637.864254261</v>
      </c>
      <c r="EH59" s="142">
        <f t="shared" si="75"/>
        <v>124805.22170484228</v>
      </c>
      <c r="EI59" s="280">
        <f t="shared" si="75"/>
        <v>248443.08595910328</v>
      </c>
      <c r="EJ59" s="142">
        <f t="shared" si="75"/>
        <v>123637.864254261</v>
      </c>
      <c r="EK59" s="142">
        <f t="shared" si="75"/>
        <v>124805.22170484228</v>
      </c>
      <c r="EL59" s="280">
        <f t="shared" si="75"/>
        <v>248443.08595910328</v>
      </c>
      <c r="EM59" s="142">
        <f t="shared" si="75"/>
        <v>123637.864254261</v>
      </c>
      <c r="EN59" s="142">
        <f t="shared" si="75"/>
        <v>124805.22170484228</v>
      </c>
      <c r="EO59" s="280">
        <f t="shared" si="75"/>
        <v>248443.08595910328</v>
      </c>
      <c r="EP59" s="142">
        <f t="shared" si="75"/>
        <v>123637.864254261</v>
      </c>
      <c r="EQ59" s="142">
        <f t="shared" si="75"/>
        <v>124805.22170484228</v>
      </c>
    </row>
    <row r="60" spans="1:147" ht="28.5">
      <c r="A60" s="117" t="s">
        <v>136</v>
      </c>
      <c r="B60" s="121" t="s">
        <v>441</v>
      </c>
      <c r="C60" s="122" t="s">
        <v>442</v>
      </c>
      <c r="D60" s="124">
        <f>[7]Расчет_тарифа_стр.1_3!D43</f>
        <v>12928</v>
      </c>
      <c r="E60" s="124">
        <f>[7]Расчет_тарифа_стр.1_3!E43</f>
        <v>6547.2787901199999</v>
      </c>
      <c r="F60" s="124">
        <f>[7]Расчет_тарифа_стр.1_3!F43</f>
        <v>6380.2327613400003</v>
      </c>
      <c r="G60" s="124">
        <f>[7]Расчет_тарифа_стр.1_3!G43</f>
        <v>12841.530527999999</v>
      </c>
      <c r="H60" s="124">
        <f>[7]Расчет_тарифа_стр.1_3!H43</f>
        <v>12927.511995086699</v>
      </c>
      <c r="I60" s="124">
        <f>[7]Расчет_тарифа_стр.1_3!I43</f>
        <v>6538.5237301983198</v>
      </c>
      <c r="J60" s="124">
        <f>[7]Расчет_тарифа_стр.1_3!J43</f>
        <v>6388.50027839633</v>
      </c>
      <c r="K60" s="124">
        <f>[7]Расчет_тарифа_стр.1_3!K43</f>
        <v>12421.07</v>
      </c>
      <c r="L60" s="124">
        <f t="shared" ref="L60:O60" si="76">SUM(L61:L63)</f>
        <v>12482.939999999999</v>
      </c>
      <c r="M60" s="124">
        <f t="shared" si="76"/>
        <v>6478.070084189967</v>
      </c>
      <c r="N60" s="124">
        <f t="shared" si="76"/>
        <v>6004.8699158100299</v>
      </c>
      <c r="O60" s="124">
        <f t="shared" si="76"/>
        <v>12054.220191174079</v>
      </c>
      <c r="P60" s="124">
        <f t="shared" si="50"/>
        <v>-428.71980882591924</v>
      </c>
      <c r="Q60" s="124">
        <f t="shared" ref="Q60:T60" si="77">SUM(Q61:Q63)</f>
        <v>12482.939999999999</v>
      </c>
      <c r="R60" s="124">
        <f t="shared" si="77"/>
        <v>6478.070084189967</v>
      </c>
      <c r="S60" s="124">
        <f t="shared" si="77"/>
        <v>6004.8699158100299</v>
      </c>
      <c r="T60" s="124">
        <f t="shared" si="77"/>
        <v>11411.404318499999</v>
      </c>
      <c r="U60" s="124">
        <f t="shared" si="51"/>
        <v>-1071.5356814999996</v>
      </c>
      <c r="V60" s="124">
        <f t="shared" ref="V60:AD60" si="78">SUM(V61:V63)</f>
        <v>12482.939999999999</v>
      </c>
      <c r="W60" s="124">
        <f t="shared" si="78"/>
        <v>6478.070084189967</v>
      </c>
      <c r="X60" s="124">
        <f t="shared" si="78"/>
        <v>6004.8699158100299</v>
      </c>
      <c r="Y60" s="124">
        <f t="shared" si="78"/>
        <v>12482.939999999999</v>
      </c>
      <c r="Z60" s="124">
        <f t="shared" si="78"/>
        <v>6478.070084189967</v>
      </c>
      <c r="AA60" s="124">
        <f t="shared" si="78"/>
        <v>6004.8699158100299</v>
      </c>
      <c r="AB60" s="124">
        <f t="shared" si="78"/>
        <v>12482.939999999999</v>
      </c>
      <c r="AC60" s="124">
        <f t="shared" si="78"/>
        <v>6478.070084189967</v>
      </c>
      <c r="AD60" s="124">
        <f t="shared" si="78"/>
        <v>6004.8699158100299</v>
      </c>
      <c r="AE60" s="124">
        <v>12914.587714969701</v>
      </c>
      <c r="AF60" s="124"/>
      <c r="AG60" s="124"/>
      <c r="AH60" s="124">
        <v>12969.429494150399</v>
      </c>
      <c r="AI60" s="124"/>
      <c r="AJ60" s="124"/>
      <c r="AK60" s="124">
        <v>13024.2182278127</v>
      </c>
      <c r="AL60" s="124"/>
      <c r="AM60" s="124"/>
      <c r="AN60" s="124">
        <v>13078.977381171901</v>
      </c>
      <c r="AO60" s="124"/>
      <c r="AP60" s="124"/>
      <c r="AQ60" s="124">
        <v>13133.966764463101</v>
      </c>
      <c r="AR60" s="124"/>
      <c r="AS60" s="124"/>
      <c r="AT60" s="124">
        <v>13188.660888997099</v>
      </c>
      <c r="AU60" s="124"/>
      <c r="AV60" s="124"/>
      <c r="AW60" s="124">
        <v>13243.503481276601</v>
      </c>
      <c r="AX60" s="124"/>
      <c r="AY60" s="124"/>
      <c r="AZ60" s="124">
        <v>13298.308707391199</v>
      </c>
      <c r="BA60" s="124"/>
      <c r="BB60" s="124"/>
      <c r="BC60" s="124">
        <v>13353.154171968499</v>
      </c>
      <c r="BD60" s="124"/>
      <c r="BE60" s="124"/>
      <c r="BF60" s="124">
        <v>13407.9582207039</v>
      </c>
      <c r="BG60" s="124"/>
      <c r="BH60" s="124"/>
      <c r="BI60" s="124">
        <v>13462.772230098801</v>
      </c>
      <c r="BJ60" s="124"/>
      <c r="BK60" s="124"/>
      <c r="BL60" s="124">
        <v>13517.621465444199</v>
      </c>
      <c r="BM60" s="124"/>
      <c r="BN60" s="124"/>
      <c r="BO60" s="124">
        <v>13572.4232630758</v>
      </c>
      <c r="BP60" s="124"/>
      <c r="BQ60" s="124"/>
      <c r="BR60" s="124">
        <v>13627.3112339745</v>
      </c>
      <c r="BS60" s="124"/>
      <c r="BT60" s="124"/>
      <c r="BU60" s="124">
        <v>13627.3112339745</v>
      </c>
      <c r="BV60" s="124"/>
      <c r="BW60" s="124"/>
      <c r="BX60" s="276">
        <v>8999.9150953370008</v>
      </c>
      <c r="BY60" s="277">
        <v>4568.0524712650003</v>
      </c>
      <c r="BZ60" s="277">
        <v>4431.8626240719996</v>
      </c>
      <c r="CA60" s="277">
        <v>9243</v>
      </c>
      <c r="CB60" s="277">
        <v>8999.9150953370008</v>
      </c>
      <c r="CC60" s="277">
        <v>4568.0524712650003</v>
      </c>
      <c r="CD60" s="277">
        <v>4431.8626240719996</v>
      </c>
      <c r="CE60" s="277">
        <v>8877.39</v>
      </c>
      <c r="CF60" s="124">
        <f t="shared" ref="CF60:CI60" si="79">SUM(CF61:CF63)</f>
        <v>8608.0317820000018</v>
      </c>
      <c r="CG60" s="124">
        <f t="shared" si="79"/>
        <v>4367.0040340000005</v>
      </c>
      <c r="CH60" s="124">
        <f t="shared" si="79"/>
        <v>4241.0277480000004</v>
      </c>
      <c r="CI60" s="124">
        <f t="shared" si="79"/>
        <v>8862.9255071849402</v>
      </c>
      <c r="CJ60" s="124">
        <f t="shared" si="52"/>
        <v>254.89372518493838</v>
      </c>
      <c r="CK60" s="124">
        <f t="shared" ref="CK60:CN60" si="80">SUM(CK61:CK63)</f>
        <v>8608.0317820000018</v>
      </c>
      <c r="CL60" s="124">
        <f t="shared" si="80"/>
        <v>4367.0040340000005</v>
      </c>
      <c r="CM60" s="124">
        <f t="shared" si="80"/>
        <v>4241.0277480000004</v>
      </c>
      <c r="CN60" s="124">
        <f t="shared" si="80"/>
        <v>8631.0956346000003</v>
      </c>
      <c r="CO60" s="124">
        <f t="shared" si="53"/>
        <v>23.063852599998427</v>
      </c>
      <c r="CP60" s="124">
        <f t="shared" ref="CP60:CX60" si="81">SUM(CP61:CP63)</f>
        <v>8608.0317820000018</v>
      </c>
      <c r="CQ60" s="124">
        <f t="shared" si="81"/>
        <v>4367.0040340000005</v>
      </c>
      <c r="CR60" s="124">
        <f t="shared" si="81"/>
        <v>4241.0277480000004</v>
      </c>
      <c r="CS60" s="124">
        <f t="shared" si="81"/>
        <v>8608.0317820000018</v>
      </c>
      <c r="CT60" s="124">
        <f t="shared" si="81"/>
        <v>4367.0040340000005</v>
      </c>
      <c r="CU60" s="124">
        <f t="shared" si="81"/>
        <v>4241.0277480000004</v>
      </c>
      <c r="CV60" s="124">
        <f t="shared" si="81"/>
        <v>8608.0317820000018</v>
      </c>
      <c r="CW60" s="124">
        <f t="shared" si="81"/>
        <v>4367.0040340000005</v>
      </c>
      <c r="CX60" s="124">
        <f t="shared" si="81"/>
        <v>4241.0277480000004</v>
      </c>
      <c r="CY60" s="277">
        <v>8999.9150953370008</v>
      </c>
      <c r="CZ60" s="277"/>
      <c r="DA60" s="277"/>
      <c r="DB60" s="277">
        <v>8999.9150953370008</v>
      </c>
      <c r="DC60" s="277"/>
      <c r="DD60" s="277"/>
      <c r="DE60" s="277">
        <v>8999.9150953370008</v>
      </c>
      <c r="DF60" s="277"/>
      <c r="DG60" s="277"/>
      <c r="DH60" s="277">
        <v>8999.9150953370008</v>
      </c>
      <c r="DI60" s="277"/>
      <c r="DJ60" s="277"/>
      <c r="DK60" s="277">
        <v>8999.9150953370008</v>
      </c>
      <c r="DL60" s="277"/>
      <c r="DM60" s="277"/>
      <c r="DN60" s="277">
        <v>8999.9150953370008</v>
      </c>
      <c r="DO60" s="277"/>
      <c r="DP60" s="277"/>
      <c r="DQ60" s="277">
        <v>8999.9150953370008</v>
      </c>
      <c r="DR60" s="277"/>
      <c r="DS60" s="277"/>
      <c r="DT60" s="277">
        <v>8999.9150953370008</v>
      </c>
      <c r="DU60" s="277"/>
      <c r="DV60" s="277"/>
      <c r="DW60" s="277">
        <v>8999.9150953370008</v>
      </c>
      <c r="DX60" s="277"/>
      <c r="DY60" s="277"/>
      <c r="DZ60" s="277">
        <v>8999.9150953370008</v>
      </c>
      <c r="EA60" s="277"/>
      <c r="EB60" s="277"/>
      <c r="EC60" s="277">
        <v>8999.9150953370008</v>
      </c>
      <c r="ED60" s="277"/>
      <c r="EE60" s="277"/>
      <c r="EF60" s="277">
        <v>8999.9150953370008</v>
      </c>
      <c r="EG60" s="277"/>
      <c r="EH60" s="277"/>
      <c r="EI60" s="277">
        <v>8999.9150953370008</v>
      </c>
      <c r="EJ60" s="277"/>
      <c r="EK60" s="277"/>
      <c r="EL60" s="277">
        <v>8999.9150953370008</v>
      </c>
      <c r="EM60" s="277"/>
      <c r="EN60" s="277"/>
      <c r="EO60" s="277">
        <v>8999.9150953370008</v>
      </c>
      <c r="EP60" s="277"/>
      <c r="EQ60" s="277"/>
    </row>
    <row r="61" spans="1:147">
      <c r="A61" s="125" t="s">
        <v>66</v>
      </c>
      <c r="B61" s="126" t="s">
        <v>443</v>
      </c>
      <c r="C61" s="122" t="s">
        <v>442</v>
      </c>
      <c r="D61" s="124">
        <f>[7]Расчет_тарифа_стр.1_3!D44</f>
        <v>9389.7934275999996</v>
      </c>
      <c r="E61" s="124">
        <f>[7]Расчет_тарифа_стр.1_3!E44</f>
        <v>4772.7370002999996</v>
      </c>
      <c r="F61" s="124">
        <f>[7]Расчет_тарифа_стр.1_3!F44</f>
        <v>4617.0564273</v>
      </c>
      <c r="G61" s="124">
        <f>[7]Расчет_тарифа_стр.1_3!G44</f>
        <v>9251.2999999999993</v>
      </c>
      <c r="H61" s="124">
        <f>[7]Расчет_тарифа_стр.1_3!H44</f>
        <v>9250.6089100867393</v>
      </c>
      <c r="I61" s="124">
        <f>[7]Расчет_тарифа_стр.1_3!I44</f>
        <v>4684.6189100867396</v>
      </c>
      <c r="J61" s="124">
        <f>[7]Расчет_тарифа_стр.1_3!J44</f>
        <v>4565.99</v>
      </c>
      <c r="K61" s="124">
        <f>[7]Расчет_тарифа_стр.1_3!K44</f>
        <v>9170.0300000000007</v>
      </c>
      <c r="L61" s="124">
        <f t="shared" ref="L61:L63" si="82">M61+N61</f>
        <v>9250.61</v>
      </c>
      <c r="M61" s="124">
        <v>4697.0954461750198</v>
      </c>
      <c r="N61" s="124">
        <v>4553.5145538249799</v>
      </c>
      <c r="O61" s="124">
        <v>8800.6545581740793</v>
      </c>
      <c r="P61" s="124">
        <f t="shared" si="50"/>
        <v>-449.9554418259213</v>
      </c>
      <c r="Q61" s="124">
        <f t="shared" ref="Q61:Q63" si="83">R61+S61</f>
        <v>9250.61</v>
      </c>
      <c r="R61" s="124">
        <f t="shared" ref="R61:S63" si="84">M61</f>
        <v>4697.0954461750198</v>
      </c>
      <c r="S61" s="124">
        <f t="shared" si="84"/>
        <v>4553.5145538249799</v>
      </c>
      <c r="T61" s="124">
        <v>8416.1009730999995</v>
      </c>
      <c r="U61" s="124">
        <f t="shared" si="51"/>
        <v>-834.50902690000112</v>
      </c>
      <c r="V61" s="124">
        <f t="shared" ref="V61:V63" si="85">W61+X61</f>
        <v>9250.61</v>
      </c>
      <c r="W61" s="124">
        <f t="shared" ref="W61:X63" si="86">M61</f>
        <v>4697.0954461750198</v>
      </c>
      <c r="X61" s="124">
        <f t="shared" si="86"/>
        <v>4553.5145538249799</v>
      </c>
      <c r="Y61" s="124">
        <f t="shared" ref="Y61:Y63" si="87">Z61+AA61</f>
        <v>9250.61</v>
      </c>
      <c r="Z61" s="124">
        <f t="shared" ref="Z61:AA63" si="88">M61</f>
        <v>4697.0954461750198</v>
      </c>
      <c r="AA61" s="124">
        <f t="shared" si="88"/>
        <v>4553.5145538249799</v>
      </c>
      <c r="AB61" s="124">
        <f t="shared" ref="AB61:AB63" si="89">AC61+AD61</f>
        <v>9250.61</v>
      </c>
      <c r="AC61" s="124">
        <f t="shared" ref="AC61:AD63" si="90">M61</f>
        <v>4697.0954461750198</v>
      </c>
      <c r="AD61" s="124">
        <f t="shared" si="90"/>
        <v>4553.5145538249799</v>
      </c>
      <c r="AE61" s="124">
        <v>9241.3606138288797</v>
      </c>
      <c r="AF61" s="124"/>
      <c r="AG61" s="124"/>
      <c r="AH61" s="124">
        <v>9280.6040391165006</v>
      </c>
      <c r="AI61" s="124"/>
      <c r="AJ61" s="124"/>
      <c r="AK61" s="124">
        <v>9319.80950633881</v>
      </c>
      <c r="AL61" s="124"/>
      <c r="AM61" s="124"/>
      <c r="AN61" s="124">
        <v>9358.9938066253599</v>
      </c>
      <c r="AO61" s="124"/>
      <c r="AP61" s="124"/>
      <c r="AQ61" s="124">
        <v>9398.34285377587</v>
      </c>
      <c r="AR61" s="124"/>
      <c r="AS61" s="124"/>
      <c r="AT61" s="124">
        <v>9437.4806210381103</v>
      </c>
      <c r="AU61" s="124"/>
      <c r="AV61" s="124"/>
      <c r="AW61" s="124">
        <v>9476.7246281592397</v>
      </c>
      <c r="AX61" s="124"/>
      <c r="AY61" s="124"/>
      <c r="AZ61" s="124">
        <v>9515.9418969737799</v>
      </c>
      <c r="BA61" s="124"/>
      <c r="BB61" s="124"/>
      <c r="BC61" s="124">
        <v>9555.1879594403508</v>
      </c>
      <c r="BD61" s="124"/>
      <c r="BE61" s="124"/>
      <c r="BF61" s="124">
        <v>9594.4043857514498</v>
      </c>
      <c r="BG61" s="124"/>
      <c r="BH61" s="124"/>
      <c r="BI61" s="124">
        <v>9633.6279396648697</v>
      </c>
      <c r="BJ61" s="124"/>
      <c r="BK61" s="124"/>
      <c r="BL61" s="124">
        <v>9672.8767004001693</v>
      </c>
      <c r="BM61" s="124"/>
      <c r="BN61" s="124"/>
      <c r="BO61" s="124">
        <v>9712.0915158768094</v>
      </c>
      <c r="BP61" s="124"/>
      <c r="BQ61" s="124"/>
      <c r="BR61" s="124">
        <v>9751.3679948191802</v>
      </c>
      <c r="BS61" s="124"/>
      <c r="BT61" s="124"/>
      <c r="BU61" s="124">
        <v>9751.3679948191802</v>
      </c>
      <c r="BV61" s="124"/>
      <c r="BW61" s="124"/>
      <c r="BX61" s="276">
        <v>6761.3651253369999</v>
      </c>
      <c r="BY61" s="277">
        <v>3431.0064862650001</v>
      </c>
      <c r="BZ61" s="277">
        <v>3330.3586390720002</v>
      </c>
      <c r="CA61" s="277">
        <v>6955</v>
      </c>
      <c r="CB61" s="277">
        <v>6761.3651253369999</v>
      </c>
      <c r="CC61" s="277">
        <v>3431.0064862650001</v>
      </c>
      <c r="CD61" s="277">
        <v>3330.3586390720002</v>
      </c>
      <c r="CE61" s="277">
        <v>6689.07</v>
      </c>
      <c r="CF61" s="124">
        <f t="shared" ref="CF61:CF63" si="91">CG61+CH61</f>
        <v>6761.3700000000008</v>
      </c>
      <c r="CG61" s="277">
        <v>3431.01</v>
      </c>
      <c r="CH61" s="277">
        <v>3330.36</v>
      </c>
      <c r="CI61" s="124">
        <v>7011.5149820849401</v>
      </c>
      <c r="CJ61" s="277">
        <f t="shared" si="52"/>
        <v>250.14498208493933</v>
      </c>
      <c r="CK61" s="124">
        <f t="shared" ref="CK61:CK63" si="92">CL61+CM61</f>
        <v>6761.3700000000008</v>
      </c>
      <c r="CL61" s="277">
        <f t="shared" ref="CL61:CM63" si="93">CG61</f>
        <v>3431.01</v>
      </c>
      <c r="CM61" s="277">
        <f t="shared" si="93"/>
        <v>3330.36</v>
      </c>
      <c r="CN61" s="124">
        <v>6997.7505185999999</v>
      </c>
      <c r="CO61" s="124">
        <f t="shared" si="53"/>
        <v>236.38051859999905</v>
      </c>
      <c r="CP61" s="124">
        <f t="shared" ref="CP61:CP63" si="94">CQ61+CR61</f>
        <v>6761.3700000000008</v>
      </c>
      <c r="CQ61" s="277">
        <f t="shared" ref="CQ61:CR63" si="95">CG61</f>
        <v>3431.01</v>
      </c>
      <c r="CR61" s="277">
        <f t="shared" si="95"/>
        <v>3330.36</v>
      </c>
      <c r="CS61" s="124">
        <f t="shared" ref="CS61:CS63" si="96">CT61+CU61</f>
        <v>6761.3700000000008</v>
      </c>
      <c r="CT61" s="277">
        <f t="shared" ref="CT61:CU63" si="97">CG61</f>
        <v>3431.01</v>
      </c>
      <c r="CU61" s="277">
        <f t="shared" si="97"/>
        <v>3330.36</v>
      </c>
      <c r="CV61" s="124">
        <f t="shared" ref="CV61:CV63" si="98">CW61+CX61</f>
        <v>6761.3700000000008</v>
      </c>
      <c r="CW61" s="277">
        <f t="shared" ref="CW61:CX63" si="99">CG61</f>
        <v>3431.01</v>
      </c>
      <c r="CX61" s="277">
        <f t="shared" si="99"/>
        <v>3330.36</v>
      </c>
      <c r="CY61" s="277">
        <v>6761.3651253369999</v>
      </c>
      <c r="CZ61" s="277"/>
      <c r="DA61" s="277"/>
      <c r="DB61" s="277">
        <v>6761.3651253369999</v>
      </c>
      <c r="DC61" s="277"/>
      <c r="DD61" s="277"/>
      <c r="DE61" s="277">
        <v>6761.3651253369999</v>
      </c>
      <c r="DF61" s="277"/>
      <c r="DG61" s="277"/>
      <c r="DH61" s="277">
        <v>6761.3651253369999</v>
      </c>
      <c r="DI61" s="277"/>
      <c r="DJ61" s="277"/>
      <c r="DK61" s="277">
        <v>6761.3651253369999</v>
      </c>
      <c r="DL61" s="277"/>
      <c r="DM61" s="277"/>
      <c r="DN61" s="277">
        <v>6761.3651253369999</v>
      </c>
      <c r="DO61" s="277"/>
      <c r="DP61" s="277"/>
      <c r="DQ61" s="277">
        <v>6761.3651253369999</v>
      </c>
      <c r="DR61" s="277"/>
      <c r="DS61" s="277"/>
      <c r="DT61" s="277">
        <v>6761.3651253369999</v>
      </c>
      <c r="DU61" s="277"/>
      <c r="DV61" s="277"/>
      <c r="DW61" s="277">
        <v>6761.3651253369999</v>
      </c>
      <c r="DX61" s="277"/>
      <c r="DY61" s="277"/>
      <c r="DZ61" s="277">
        <v>6761.3651253369999</v>
      </c>
      <c r="EA61" s="277"/>
      <c r="EB61" s="277"/>
      <c r="EC61" s="277">
        <v>6761.3651253369999</v>
      </c>
      <c r="ED61" s="277"/>
      <c r="EE61" s="277"/>
      <c r="EF61" s="277">
        <v>6761.3651253369999</v>
      </c>
      <c r="EG61" s="277"/>
      <c r="EH61" s="277"/>
      <c r="EI61" s="277">
        <v>6761.3651253369999</v>
      </c>
      <c r="EJ61" s="277"/>
      <c r="EK61" s="277"/>
      <c r="EL61" s="277">
        <v>6761.3651253369999</v>
      </c>
      <c r="EM61" s="277"/>
      <c r="EN61" s="277"/>
      <c r="EO61" s="277">
        <v>6761.3651253369999</v>
      </c>
      <c r="EP61" s="277"/>
      <c r="EQ61" s="277"/>
    </row>
    <row r="62" spans="1:147" ht="45">
      <c r="A62" s="125" t="s">
        <v>139</v>
      </c>
      <c r="B62" s="126" t="s">
        <v>444</v>
      </c>
      <c r="C62" s="122" t="s">
        <v>442</v>
      </c>
      <c r="D62" s="124">
        <f>[7]Расчет_тарифа_стр.1_3!D45</f>
        <v>2306.3331238599999</v>
      </c>
      <c r="E62" s="124">
        <f>[7]Расчет_тарифа_стр.1_3!E45</f>
        <v>1162.05110847644</v>
      </c>
      <c r="F62" s="124">
        <f>[7]Расчет_тарифа_стр.1_3!F45</f>
        <v>1144.2820153835601</v>
      </c>
      <c r="G62" s="124">
        <f>[7]Расчет_тарифа_стр.1_3!G45</f>
        <v>2911.3</v>
      </c>
      <c r="H62" s="124">
        <f>[7]Расчет_тарифа_стр.1_3!H45</f>
        <v>2462.3530850000002</v>
      </c>
      <c r="I62" s="124">
        <f>[7]Расчет_тарифа_стр.1_3!I45</f>
        <v>1241.6516449999999</v>
      </c>
      <c r="J62" s="124">
        <f>[7]Расчет_тарифа_стр.1_3!J45</f>
        <v>1220.70144</v>
      </c>
      <c r="K62" s="124">
        <f>[7]Расчет_тарифа_стр.1_3!K45</f>
        <v>2119.4399826328699</v>
      </c>
      <c r="L62" s="124">
        <f t="shared" si="82"/>
        <v>2005.0823999999971</v>
      </c>
      <c r="M62" s="124">
        <v>1162.67550287215</v>
      </c>
      <c r="N62" s="124">
        <v>842.40689712784695</v>
      </c>
      <c r="O62" s="124">
        <v>3253.5656330000002</v>
      </c>
      <c r="P62" s="124">
        <f t="shared" si="50"/>
        <v>1248.4832330000031</v>
      </c>
      <c r="Q62" s="124">
        <f t="shared" si="83"/>
        <v>2005.0823999999971</v>
      </c>
      <c r="R62" s="124">
        <f t="shared" si="84"/>
        <v>1162.67550287215</v>
      </c>
      <c r="S62" s="124">
        <f t="shared" si="84"/>
        <v>842.40689712784695</v>
      </c>
      <c r="T62" s="124">
        <v>2995.3033454000001</v>
      </c>
      <c r="U62" s="124">
        <f t="shared" si="51"/>
        <v>990.22094540000307</v>
      </c>
      <c r="V62" s="124">
        <f t="shared" si="85"/>
        <v>2005.0823999999971</v>
      </c>
      <c r="W62" s="124">
        <f t="shared" si="86"/>
        <v>1162.67550287215</v>
      </c>
      <c r="X62" s="124">
        <f t="shared" si="86"/>
        <v>842.40689712784695</v>
      </c>
      <c r="Y62" s="124">
        <f t="shared" si="87"/>
        <v>2005.0823999999971</v>
      </c>
      <c r="Z62" s="124">
        <f t="shared" si="88"/>
        <v>1162.67550287215</v>
      </c>
      <c r="AA62" s="124">
        <f t="shared" si="88"/>
        <v>842.40689712784695</v>
      </c>
      <c r="AB62" s="124">
        <f t="shared" si="89"/>
        <v>2005.0823999999971</v>
      </c>
      <c r="AC62" s="124">
        <f t="shared" si="90"/>
        <v>1162.67550287215</v>
      </c>
      <c r="AD62" s="124">
        <f t="shared" si="90"/>
        <v>842.40689712784695</v>
      </c>
      <c r="AE62" s="124">
        <v>2459.89134750327</v>
      </c>
      <c r="AF62" s="124"/>
      <c r="AG62" s="124"/>
      <c r="AH62" s="124">
        <v>2470.33727276745</v>
      </c>
      <c r="AI62" s="124"/>
      <c r="AJ62" s="124"/>
      <c r="AK62" s="124">
        <v>2480.7730942470998</v>
      </c>
      <c r="AL62" s="124"/>
      <c r="AM62" s="124"/>
      <c r="AN62" s="124">
        <v>2491.20328145229</v>
      </c>
      <c r="AO62" s="124"/>
      <c r="AP62" s="124"/>
      <c r="AQ62" s="124">
        <v>2501.6773214408599</v>
      </c>
      <c r="AR62" s="124"/>
      <c r="AS62" s="124"/>
      <c r="AT62" s="124">
        <v>2512.09512235482</v>
      </c>
      <c r="AU62" s="124"/>
      <c r="AV62" s="124"/>
      <c r="AW62" s="124">
        <v>2522.5412024930802</v>
      </c>
      <c r="AX62" s="124"/>
      <c r="AY62" s="124"/>
      <c r="AZ62" s="124">
        <v>2532.9801653537202</v>
      </c>
      <c r="BA62" s="124"/>
      <c r="BB62" s="124"/>
      <c r="BC62" s="124">
        <v>2543.4267925896102</v>
      </c>
      <c r="BD62" s="124"/>
      <c r="BE62" s="124"/>
      <c r="BF62" s="124">
        <v>2553.8655311903199</v>
      </c>
      <c r="BG62" s="124"/>
      <c r="BH62" s="124"/>
      <c r="BI62" s="124">
        <v>2564.3061670362599</v>
      </c>
      <c r="BJ62" s="124"/>
      <c r="BK62" s="124"/>
      <c r="BL62" s="124">
        <v>2574.7535125048998</v>
      </c>
      <c r="BM62" s="124"/>
      <c r="BN62" s="124"/>
      <c r="BO62" s="124">
        <v>2585.19182232917</v>
      </c>
      <c r="BP62" s="124"/>
      <c r="BQ62" s="124"/>
      <c r="BR62" s="124">
        <v>2595.64654590809</v>
      </c>
      <c r="BS62" s="124"/>
      <c r="BT62" s="124"/>
      <c r="BU62" s="124">
        <v>2595.64654590809</v>
      </c>
      <c r="BV62" s="124"/>
      <c r="BW62" s="124"/>
      <c r="BX62" s="276">
        <v>0</v>
      </c>
      <c r="BY62" s="277">
        <v>0</v>
      </c>
      <c r="BZ62" s="277">
        <v>0</v>
      </c>
      <c r="CA62" s="277">
        <v>822</v>
      </c>
      <c r="CB62" s="277">
        <v>0</v>
      </c>
      <c r="CC62" s="277">
        <v>0</v>
      </c>
      <c r="CD62" s="277">
        <v>0</v>
      </c>
      <c r="CE62" s="277">
        <v>786.18839160839195</v>
      </c>
      <c r="CF62" s="124">
        <f t="shared" si="91"/>
        <v>1846.6617820000001</v>
      </c>
      <c r="CG62" s="277">
        <v>935.99403400000006</v>
      </c>
      <c r="CH62" s="277">
        <v>910.66774799999996</v>
      </c>
      <c r="CI62" s="124">
        <v>1851.4105251000001</v>
      </c>
      <c r="CJ62" s="277">
        <f t="shared" si="52"/>
        <v>4.748743099999956</v>
      </c>
      <c r="CK62" s="124">
        <f t="shared" si="92"/>
        <v>1846.6617820000001</v>
      </c>
      <c r="CL62" s="277">
        <f t="shared" si="93"/>
        <v>935.99403400000006</v>
      </c>
      <c r="CM62" s="277">
        <f t="shared" si="93"/>
        <v>910.66774799999996</v>
      </c>
      <c r="CN62" s="124">
        <v>1633.345116</v>
      </c>
      <c r="CO62" s="124">
        <f t="shared" si="53"/>
        <v>-213.31666600000017</v>
      </c>
      <c r="CP62" s="124">
        <f t="shared" si="94"/>
        <v>1846.6617820000001</v>
      </c>
      <c r="CQ62" s="277">
        <f t="shared" si="95"/>
        <v>935.99403400000006</v>
      </c>
      <c r="CR62" s="277">
        <f t="shared" si="95"/>
        <v>910.66774799999996</v>
      </c>
      <c r="CS62" s="124">
        <f t="shared" si="96"/>
        <v>1846.6617820000001</v>
      </c>
      <c r="CT62" s="277">
        <f t="shared" si="97"/>
        <v>935.99403400000006</v>
      </c>
      <c r="CU62" s="277">
        <f t="shared" si="97"/>
        <v>910.66774799999996</v>
      </c>
      <c r="CV62" s="124">
        <f t="shared" si="98"/>
        <v>1846.6617820000001</v>
      </c>
      <c r="CW62" s="277">
        <f t="shared" si="99"/>
        <v>935.99403400000006</v>
      </c>
      <c r="CX62" s="277">
        <f t="shared" si="99"/>
        <v>910.66774799999996</v>
      </c>
      <c r="CY62" s="277">
        <v>804.23429866258698</v>
      </c>
      <c r="CZ62" s="277"/>
      <c r="DA62" s="277"/>
      <c r="DB62" s="277">
        <v>804.23429866258698</v>
      </c>
      <c r="DC62" s="277"/>
      <c r="DD62" s="277"/>
      <c r="DE62" s="277">
        <v>804.23429866258698</v>
      </c>
      <c r="DF62" s="277"/>
      <c r="DG62" s="277"/>
      <c r="DH62" s="277">
        <v>804.23429866258698</v>
      </c>
      <c r="DI62" s="277"/>
      <c r="DJ62" s="277"/>
      <c r="DK62" s="277">
        <v>804.23429866258698</v>
      </c>
      <c r="DL62" s="277"/>
      <c r="DM62" s="277"/>
      <c r="DN62" s="277">
        <v>804.23429866258698</v>
      </c>
      <c r="DO62" s="277"/>
      <c r="DP62" s="277"/>
      <c r="DQ62" s="277">
        <v>804.23429866258698</v>
      </c>
      <c r="DR62" s="277"/>
      <c r="DS62" s="277"/>
      <c r="DT62" s="277">
        <v>804.23429866258698</v>
      </c>
      <c r="DU62" s="277"/>
      <c r="DV62" s="277"/>
      <c r="DW62" s="277">
        <v>804.23429866258698</v>
      </c>
      <c r="DX62" s="277"/>
      <c r="DY62" s="277"/>
      <c r="DZ62" s="277">
        <v>804.23429866258698</v>
      </c>
      <c r="EA62" s="277"/>
      <c r="EB62" s="277"/>
      <c r="EC62" s="277">
        <v>804.23429866258698</v>
      </c>
      <c r="ED62" s="277"/>
      <c r="EE62" s="277"/>
      <c r="EF62" s="277">
        <v>804.23429866258698</v>
      </c>
      <c r="EG62" s="277"/>
      <c r="EH62" s="277"/>
      <c r="EI62" s="277">
        <v>804.23429866258698</v>
      </c>
      <c r="EJ62" s="277"/>
      <c r="EK62" s="277"/>
      <c r="EL62" s="277">
        <v>804.23429866258698</v>
      </c>
      <c r="EM62" s="277"/>
      <c r="EN62" s="277"/>
      <c r="EO62" s="277">
        <v>804.23429866258698</v>
      </c>
      <c r="EP62" s="277"/>
      <c r="EQ62" s="277"/>
    </row>
    <row r="63" spans="1:147" ht="45">
      <c r="A63" s="125" t="s">
        <v>140</v>
      </c>
      <c r="B63" s="126" t="s">
        <v>445</v>
      </c>
      <c r="C63" s="122" t="s">
        <v>442</v>
      </c>
      <c r="D63" s="124">
        <f>[7]Расчет_тарифа_стр.1_3!D46</f>
        <v>1231.385</v>
      </c>
      <c r="E63" s="124">
        <f>[7]Расчет_тарифа_стр.1_3!E46</f>
        <v>612.49068134356105</v>
      </c>
      <c r="F63" s="124">
        <f>[7]Расчет_тарифа_стр.1_3!F46</f>
        <v>618.89431865643905</v>
      </c>
      <c r="G63" s="124">
        <f>[7]Расчет_тарифа_стр.1_3!G46</f>
        <v>678.8</v>
      </c>
      <c r="H63" s="124">
        <f>[7]Расчет_тарифа_стр.1_3!H46</f>
        <v>1214.55</v>
      </c>
      <c r="I63" s="124">
        <f>[7]Расчет_тарифа_стр.1_3!I46</f>
        <v>612.5</v>
      </c>
      <c r="J63" s="124">
        <f>[7]Расчет_тарифа_стр.1_3!J46</f>
        <v>602.04999999999995</v>
      </c>
      <c r="K63" s="124">
        <f>[7]Расчет_тарифа_стр.1_3!K46</f>
        <v>1131.60001736713</v>
      </c>
      <c r="L63" s="124">
        <f t="shared" si="82"/>
        <v>1227.2476000000001</v>
      </c>
      <c r="M63" s="124">
        <v>618.29913514279701</v>
      </c>
      <c r="N63" s="124">
        <v>608.94846485720302</v>
      </c>
      <c r="O63" s="124">
        <v>0</v>
      </c>
      <c r="P63" s="124">
        <f t="shared" si="50"/>
        <v>-1227.2476000000001</v>
      </c>
      <c r="Q63" s="124">
        <f t="shared" si="83"/>
        <v>1227.2476000000001</v>
      </c>
      <c r="R63" s="124">
        <f t="shared" si="84"/>
        <v>618.29913514279701</v>
      </c>
      <c r="S63" s="124">
        <f t="shared" si="84"/>
        <v>608.94846485720302</v>
      </c>
      <c r="T63" s="124">
        <v>0</v>
      </c>
      <c r="U63" s="124">
        <f t="shared" si="51"/>
        <v>-1227.2476000000001</v>
      </c>
      <c r="V63" s="124">
        <f t="shared" si="85"/>
        <v>1227.2476000000001</v>
      </c>
      <c r="W63" s="124">
        <f t="shared" si="86"/>
        <v>618.29913514279701</v>
      </c>
      <c r="X63" s="124">
        <f t="shared" si="86"/>
        <v>608.94846485720302</v>
      </c>
      <c r="Y63" s="124">
        <f t="shared" si="87"/>
        <v>1227.2476000000001</v>
      </c>
      <c r="Z63" s="124">
        <f t="shared" si="88"/>
        <v>618.29913514279701</v>
      </c>
      <c r="AA63" s="124">
        <f t="shared" si="88"/>
        <v>608.94846485720302</v>
      </c>
      <c r="AB63" s="124">
        <f t="shared" si="89"/>
        <v>1227.2476000000001</v>
      </c>
      <c r="AC63" s="124">
        <f t="shared" si="90"/>
        <v>618.29913514279701</v>
      </c>
      <c r="AD63" s="124">
        <f t="shared" si="90"/>
        <v>608.94846485720302</v>
      </c>
      <c r="AE63" s="124">
        <v>1213.3357536374999</v>
      </c>
      <c r="AF63" s="124"/>
      <c r="AG63" s="124"/>
      <c r="AH63" s="124">
        <v>1218.4881822663999</v>
      </c>
      <c r="AI63" s="124"/>
      <c r="AJ63" s="124"/>
      <c r="AK63" s="124">
        <v>1223.6356272267999</v>
      </c>
      <c r="AL63" s="124"/>
      <c r="AM63" s="124"/>
      <c r="AN63" s="124">
        <v>1228.7802930942701</v>
      </c>
      <c r="AO63" s="124"/>
      <c r="AP63" s="124"/>
      <c r="AQ63" s="124">
        <v>1233.94658924636</v>
      </c>
      <c r="AR63" s="124"/>
      <c r="AS63" s="124"/>
      <c r="AT63" s="124">
        <v>1239.0851456041501</v>
      </c>
      <c r="AU63" s="124"/>
      <c r="AV63" s="124"/>
      <c r="AW63" s="124">
        <v>1244.2376506243299</v>
      </c>
      <c r="AX63" s="124"/>
      <c r="AY63" s="124"/>
      <c r="AZ63" s="124">
        <v>1249.3866450636799</v>
      </c>
      <c r="BA63" s="124"/>
      <c r="BB63" s="124"/>
      <c r="BC63" s="124">
        <v>1254.53941993851</v>
      </c>
      <c r="BD63" s="124"/>
      <c r="BE63" s="124"/>
      <c r="BF63" s="124">
        <v>1259.6883037621701</v>
      </c>
      <c r="BG63" s="124"/>
      <c r="BH63" s="124"/>
      <c r="BI63" s="124">
        <v>1264.83812339768</v>
      </c>
      <c r="BJ63" s="124"/>
      <c r="BK63" s="124"/>
      <c r="BL63" s="124">
        <v>1269.9912525391701</v>
      </c>
      <c r="BM63" s="124"/>
      <c r="BN63" s="124"/>
      <c r="BO63" s="124">
        <v>1275.1399248698301</v>
      </c>
      <c r="BP63" s="124"/>
      <c r="BQ63" s="124"/>
      <c r="BR63" s="124">
        <v>1280.29669324725</v>
      </c>
      <c r="BS63" s="124"/>
      <c r="BT63" s="124"/>
      <c r="BU63" s="124">
        <v>1280.29669324725</v>
      </c>
      <c r="BV63" s="124"/>
      <c r="BW63" s="124"/>
      <c r="BX63" s="276">
        <v>2238.54997</v>
      </c>
      <c r="BY63" s="277">
        <v>1137.045985</v>
      </c>
      <c r="BZ63" s="277">
        <v>1101.5039850000001</v>
      </c>
      <c r="CA63" s="277">
        <v>1466</v>
      </c>
      <c r="CB63" s="277">
        <v>2238.54997</v>
      </c>
      <c r="CC63" s="277">
        <v>1137.045985</v>
      </c>
      <c r="CD63" s="277">
        <v>1101.5039850000001</v>
      </c>
      <c r="CE63" s="277">
        <v>1402.1316083916099</v>
      </c>
      <c r="CF63" s="124">
        <f t="shared" si="91"/>
        <v>0</v>
      </c>
      <c r="CG63" s="277">
        <v>0</v>
      </c>
      <c r="CH63" s="277">
        <v>0</v>
      </c>
      <c r="CI63" s="124">
        <v>0</v>
      </c>
      <c r="CJ63" s="277">
        <f t="shared" si="52"/>
        <v>0</v>
      </c>
      <c r="CK63" s="124">
        <f t="shared" si="92"/>
        <v>0</v>
      </c>
      <c r="CL63" s="277">
        <f t="shared" si="93"/>
        <v>0</v>
      </c>
      <c r="CM63" s="277">
        <f t="shared" si="93"/>
        <v>0</v>
      </c>
      <c r="CN63" s="124">
        <v>0</v>
      </c>
      <c r="CO63" s="124">
        <f t="shared" si="53"/>
        <v>0</v>
      </c>
      <c r="CP63" s="124">
        <f t="shared" si="94"/>
        <v>0</v>
      </c>
      <c r="CQ63" s="277">
        <f t="shared" si="95"/>
        <v>0</v>
      </c>
      <c r="CR63" s="277">
        <f t="shared" si="95"/>
        <v>0</v>
      </c>
      <c r="CS63" s="124">
        <f t="shared" si="96"/>
        <v>0</v>
      </c>
      <c r="CT63" s="277">
        <f t="shared" si="97"/>
        <v>0</v>
      </c>
      <c r="CU63" s="277">
        <f t="shared" si="97"/>
        <v>0</v>
      </c>
      <c r="CV63" s="124">
        <f t="shared" si="98"/>
        <v>0</v>
      </c>
      <c r="CW63" s="277">
        <f t="shared" si="99"/>
        <v>0</v>
      </c>
      <c r="CX63" s="277">
        <f t="shared" si="99"/>
        <v>0</v>
      </c>
      <c r="CY63" s="277">
        <v>1434.3156713374101</v>
      </c>
      <c r="CZ63" s="277"/>
      <c r="DA63" s="277"/>
      <c r="DB63" s="277">
        <v>1434.3156713374101</v>
      </c>
      <c r="DC63" s="277"/>
      <c r="DD63" s="277"/>
      <c r="DE63" s="277">
        <v>1434.3156713374101</v>
      </c>
      <c r="DF63" s="277"/>
      <c r="DG63" s="277"/>
      <c r="DH63" s="277">
        <v>1434.3156713374101</v>
      </c>
      <c r="DI63" s="277"/>
      <c r="DJ63" s="277"/>
      <c r="DK63" s="277">
        <v>1434.3156713374101</v>
      </c>
      <c r="DL63" s="277"/>
      <c r="DM63" s="277"/>
      <c r="DN63" s="277">
        <v>1434.3156713374101</v>
      </c>
      <c r="DO63" s="277"/>
      <c r="DP63" s="277"/>
      <c r="DQ63" s="277">
        <v>1434.3156713374101</v>
      </c>
      <c r="DR63" s="277"/>
      <c r="DS63" s="277"/>
      <c r="DT63" s="277">
        <v>1434.3156713374101</v>
      </c>
      <c r="DU63" s="277"/>
      <c r="DV63" s="277"/>
      <c r="DW63" s="277">
        <v>1434.3156713374101</v>
      </c>
      <c r="DX63" s="277"/>
      <c r="DY63" s="277"/>
      <c r="DZ63" s="277">
        <v>1434.3156713374101</v>
      </c>
      <c r="EA63" s="277"/>
      <c r="EB63" s="277"/>
      <c r="EC63" s="277">
        <v>1434.3156713374101</v>
      </c>
      <c r="ED63" s="277"/>
      <c r="EE63" s="277"/>
      <c r="EF63" s="277">
        <v>1434.3156713374101</v>
      </c>
      <c r="EG63" s="277"/>
      <c r="EH63" s="277"/>
      <c r="EI63" s="277">
        <v>1434.3156713374101</v>
      </c>
      <c r="EJ63" s="277"/>
      <c r="EK63" s="277"/>
      <c r="EL63" s="277">
        <v>1434.3156713374101</v>
      </c>
      <c r="EM63" s="277"/>
      <c r="EN63" s="277"/>
      <c r="EO63" s="277">
        <v>1434.3156713374101</v>
      </c>
      <c r="EP63" s="277"/>
      <c r="EQ63" s="277"/>
    </row>
    <row r="64" spans="1:147" ht="28.5">
      <c r="A64" s="117" t="s">
        <v>348</v>
      </c>
      <c r="B64" s="143" t="s">
        <v>446</v>
      </c>
      <c r="C64" s="122" t="s">
        <v>447</v>
      </c>
      <c r="D64" s="124">
        <f>[7]Расчет_тарифа_стр.1_3!D65</f>
        <v>20.006940073520202</v>
      </c>
      <c r="E64" s="124">
        <f>[7]Расчет_тарифа_стр.1_3!E65</f>
        <v>19.87029957719</v>
      </c>
      <c r="F64" s="124">
        <f>[7]Расчет_тарифа_стр.1_3!F65</f>
        <v>20.148689727175999</v>
      </c>
      <c r="G64" s="124">
        <f>[7]Расчет_тарифа_стр.1_3!G65</f>
        <v>20.962766035796299</v>
      </c>
      <c r="H64" s="124">
        <f>[7]Расчет_тарифа_стр.1_3!H65</f>
        <v>21.688497152194302</v>
      </c>
      <c r="I64" s="124">
        <f>[7]Расчет_тарифа_стр.1_3!I65</f>
        <v>21.8981705204293</v>
      </c>
      <c r="J64" s="124">
        <f>[7]Расчет_тарифа_стр.1_3!J65</f>
        <v>21.4755566276786</v>
      </c>
      <c r="K64" s="124">
        <f>[7]Расчет_тарифа_стр.1_3!K65</f>
        <v>0</v>
      </c>
      <c r="L64" s="124">
        <f t="shared" ref="L64:O64" si="100">L59/L60</f>
        <v>22.587552149263232</v>
      </c>
      <c r="M64" s="124">
        <f t="shared" si="100"/>
        <v>21.289592188217313</v>
      </c>
      <c r="N64" s="124">
        <f t="shared" si="100"/>
        <v>23.98779490422951</v>
      </c>
      <c r="O64" s="124">
        <f t="shared" si="100"/>
        <v>24.506575899740998</v>
      </c>
      <c r="P64" s="124">
        <f t="shared" si="50"/>
        <v>1.9190237504777663</v>
      </c>
      <c r="Q64" s="124">
        <f t="shared" ref="Q64:T64" si="101">Q59/Q60</f>
        <v>24.055235649075772</v>
      </c>
      <c r="R64" s="124">
        <f t="shared" si="101"/>
        <v>24.674638163699843</v>
      </c>
      <c r="S64" s="124">
        <f t="shared" si="101"/>
        <v>23.387022522677533</v>
      </c>
      <c r="T64" s="124">
        <f t="shared" si="101"/>
        <v>26.861278208595795</v>
      </c>
      <c r="U64" s="124">
        <f t="shared" si="51"/>
        <v>2.8060425595200229</v>
      </c>
      <c r="V64" s="124">
        <f t="shared" ref="V64:AD64" si="102">V59/V60</f>
        <v>25.538715672834584</v>
      </c>
      <c r="W64" s="124">
        <f t="shared" si="102"/>
        <v>24.127520544831857</v>
      </c>
      <c r="X64" s="124">
        <f t="shared" si="102"/>
        <v>27.061116835530878</v>
      </c>
      <c r="Y64" s="124">
        <f t="shared" si="102"/>
        <v>26.618225508522485</v>
      </c>
      <c r="Z64" s="124">
        <f t="shared" si="102"/>
        <v>28.005827562422962</v>
      </c>
      <c r="AA64" s="124">
        <f t="shared" si="102"/>
        <v>25.121274953362853</v>
      </c>
      <c r="AB64" s="124">
        <f t="shared" si="102"/>
        <v>27.664702375081689</v>
      </c>
      <c r="AC64" s="124">
        <f t="shared" si="102"/>
        <v>26.085180413534516</v>
      </c>
      <c r="AD64" s="124">
        <f t="shared" si="102"/>
        <v>29.368696651374083</v>
      </c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>
        <v>20.313420754134601</v>
      </c>
      <c r="BY64" s="124">
        <v>18.911105795628799</v>
      </c>
      <c r="BZ64" s="124">
        <v>21.758828442743901</v>
      </c>
      <c r="CA64" s="124">
        <v>19.8167261711565</v>
      </c>
      <c r="CB64" s="124">
        <v>22.0133409986238</v>
      </c>
      <c r="CC64" s="124">
        <v>20.629718581854402</v>
      </c>
      <c r="CD64" s="124">
        <v>22.303012930546</v>
      </c>
      <c r="CE64" s="124">
        <v>0</v>
      </c>
      <c r="CF64" s="124">
        <f t="shared" ref="CF64:CI64" si="103">CF59/CF60</f>
        <v>23.061613027673769</v>
      </c>
      <c r="CG64" s="124">
        <f t="shared" si="103"/>
        <v>21.370819009335939</v>
      </c>
      <c r="CH64" s="124">
        <f t="shared" si="103"/>
        <v>24.802630709585049</v>
      </c>
      <c r="CI64" s="124">
        <f t="shared" si="103"/>
        <v>22.891943933499324</v>
      </c>
      <c r="CJ64" s="277">
        <f t="shared" si="52"/>
        <v>-0.16966909417444498</v>
      </c>
      <c r="CK64" s="124">
        <f t="shared" ref="CK64:CN64" si="104">CK59/CK60</f>
        <v>25.076503082796734</v>
      </c>
      <c r="CL64" s="124">
        <f t="shared" si="104"/>
        <v>24.790149263749221</v>
      </c>
      <c r="CM64" s="124">
        <f t="shared" si="104"/>
        <v>25.37136045163173</v>
      </c>
      <c r="CN64" s="124">
        <f t="shared" si="104"/>
        <v>24.623349378499771</v>
      </c>
      <c r="CO64" s="124">
        <f t="shared" si="53"/>
        <v>-0.45315370429696245</v>
      </c>
      <c r="CP64" s="124">
        <f t="shared" ref="CP64:CX64" si="105">CP59/CP60</f>
        <v>26.148660838666725</v>
      </c>
      <c r="CQ64" s="124">
        <f t="shared" si="105"/>
        <v>25.358611775394515</v>
      </c>
      <c r="CR64" s="124">
        <f t="shared" si="105"/>
        <v>26.962177667929328</v>
      </c>
      <c r="CS64" s="124">
        <f t="shared" si="105"/>
        <v>27.627256727421265</v>
      </c>
      <c r="CT64" s="124">
        <f t="shared" si="105"/>
        <v>26.948647274659923</v>
      </c>
      <c r="CU64" s="124">
        <f t="shared" si="105"/>
        <v>28.326023723019649</v>
      </c>
      <c r="CV64" s="124">
        <f t="shared" si="105"/>
        <v>28.861776100619796</v>
      </c>
      <c r="CW64" s="124">
        <f t="shared" si="105"/>
        <v>28.311827351579907</v>
      </c>
      <c r="CX64" s="124">
        <f t="shared" si="105"/>
        <v>29.428060630751208</v>
      </c>
      <c r="CY64" s="277"/>
      <c r="CZ64" s="124"/>
      <c r="DA64" s="124"/>
      <c r="DB64" s="277"/>
      <c r="DC64" s="124"/>
      <c r="DD64" s="124"/>
      <c r="DE64" s="277"/>
      <c r="DF64" s="124"/>
      <c r="DG64" s="124"/>
      <c r="DH64" s="277"/>
      <c r="DI64" s="124"/>
      <c r="DJ64" s="124"/>
      <c r="DK64" s="277"/>
      <c r="DL64" s="124"/>
      <c r="DM64" s="124"/>
      <c r="DN64" s="277"/>
      <c r="DO64" s="124"/>
      <c r="DP64" s="124"/>
      <c r="DQ64" s="277"/>
      <c r="DR64" s="124"/>
      <c r="DS64" s="124"/>
      <c r="DT64" s="277"/>
      <c r="DU64" s="124"/>
      <c r="DV64" s="124"/>
      <c r="DW64" s="277"/>
      <c r="DX64" s="124"/>
      <c r="DY64" s="124"/>
      <c r="DZ64" s="277"/>
      <c r="EA64" s="124"/>
      <c r="EB64" s="124"/>
      <c r="EC64" s="277"/>
      <c r="ED64" s="124"/>
      <c r="EE64" s="124"/>
      <c r="EF64" s="277"/>
      <c r="EG64" s="124"/>
      <c r="EH64" s="124"/>
      <c r="EI64" s="277"/>
      <c r="EJ64" s="124"/>
      <c r="EK64" s="124"/>
      <c r="EL64" s="277"/>
      <c r="EM64" s="124"/>
      <c r="EN64" s="124"/>
      <c r="EO64" s="277"/>
      <c r="EP64" s="124"/>
      <c r="EQ64" s="124"/>
    </row>
    <row r="65" spans="1:147" ht="30">
      <c r="A65" s="125" t="s">
        <v>76</v>
      </c>
      <c r="B65" s="126" t="s">
        <v>448</v>
      </c>
      <c r="C65" s="122" t="s">
        <v>447</v>
      </c>
      <c r="D65" s="124">
        <f>[7]Расчет_тарифа_стр.1_3!D66</f>
        <v>16.862813872367099</v>
      </c>
      <c r="E65" s="124">
        <f>[7]Расчет_тарифа_стр.1_3!E66</f>
        <v>16.14</v>
      </c>
      <c r="F65" s="124">
        <f>[7]Расчет_тарифа_стр.1_3!F66</f>
        <v>17.61</v>
      </c>
      <c r="G65" s="124">
        <f>[7]Расчет_тарифа_стр.1_3!G66</f>
        <v>16.862813872367099</v>
      </c>
      <c r="H65" s="124">
        <f>[7]Расчет_тарифа_стр.1_3!H66</f>
        <v>18.461824382458499</v>
      </c>
      <c r="I65" s="124">
        <f>[7]Расчет_тарифа_стр.1_3!I66</f>
        <v>17.61</v>
      </c>
      <c r="J65" s="124">
        <f>[7]Расчет_тарифа_стр.1_3!J66</f>
        <v>19.33578</v>
      </c>
      <c r="K65" s="124">
        <f>[7]Расчет_тарифа_стр.1_3!K66</f>
        <v>18.461824382458499</v>
      </c>
      <c r="L65" s="124">
        <v>20.8491153526621</v>
      </c>
      <c r="M65" s="124">
        <v>19.33578</v>
      </c>
      <c r="N65" s="124">
        <v>22.410169020000001</v>
      </c>
      <c r="O65" s="124">
        <v>23.5271754475907</v>
      </c>
      <c r="P65" s="124">
        <f t="shared" si="50"/>
        <v>2.6780600949286004</v>
      </c>
      <c r="Q65" s="124">
        <v>21.834521168044802</v>
      </c>
      <c r="R65" s="124">
        <v>22.410169020000001</v>
      </c>
      <c r="S65" s="124">
        <v>21.240722054841498</v>
      </c>
      <c r="T65" s="124">
        <v>22.86</v>
      </c>
      <c r="U65" s="124">
        <f t="shared" si="51"/>
        <v>1.0254788319551977</v>
      </c>
      <c r="V65" s="124">
        <v>22.5119789188041</v>
      </c>
      <c r="W65" s="124">
        <v>21.240722054841498</v>
      </c>
      <c r="X65" s="124">
        <v>23.823320906636798</v>
      </c>
      <c r="Y65" s="124">
        <v>22.6154832607833</v>
      </c>
      <c r="Z65" s="124">
        <v>23.823320906636798</v>
      </c>
      <c r="AA65" s="124">
        <v>21.369560218483699</v>
      </c>
      <c r="AB65" s="124">
        <v>22.693649016474499</v>
      </c>
      <c r="AC65" s="124">
        <f t="shared" ref="AC65:AC67" si="106">AA65</f>
        <v>21.369560218483699</v>
      </c>
      <c r="AD65" s="124">
        <f>[9]ЭЗnew!$AL$269</f>
        <v>24.059488828746399</v>
      </c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>
        <v>15.9846544185231</v>
      </c>
      <c r="BY65" s="124">
        <v>15.3</v>
      </c>
      <c r="BZ65" s="124">
        <v>16.690000000000001</v>
      </c>
      <c r="CA65" s="124">
        <v>15.3</v>
      </c>
      <c r="CB65" s="124">
        <v>17.495636302176099</v>
      </c>
      <c r="CC65" s="124">
        <v>16.690000000000001</v>
      </c>
      <c r="CD65" s="124">
        <v>18.325620000000001</v>
      </c>
      <c r="CE65" s="124">
        <v>17.495636302176099</v>
      </c>
      <c r="CF65" s="124">
        <v>19.769845932275899</v>
      </c>
      <c r="CG65" s="124">
        <v>18.325620000000001</v>
      </c>
      <c r="CH65" s="124">
        <v>21.2577192</v>
      </c>
      <c r="CI65" s="124">
        <v>19.800120796022</v>
      </c>
      <c r="CJ65" s="277">
        <f t="shared" si="52"/>
        <v>3.0274863746100777E-2</v>
      </c>
      <c r="CK65" s="124">
        <v>21.5032068048708</v>
      </c>
      <c r="CL65" s="124">
        <v>21.2577192</v>
      </c>
      <c r="CM65" s="124">
        <v>21.756113525822201</v>
      </c>
      <c r="CN65" s="124">
        <v>21.684999999999999</v>
      </c>
      <c r="CO65" s="124">
        <f t="shared" si="53"/>
        <v>0.18179319512919889</v>
      </c>
      <c r="CP65" s="124">
        <v>22.433754438025701</v>
      </c>
      <c r="CQ65" s="124">
        <v>21.756113525822201</v>
      </c>
      <c r="CR65" s="124">
        <v>23.131874985407801</v>
      </c>
      <c r="CS65" s="124">
        <v>23.7142240902057</v>
      </c>
      <c r="CT65" s="124">
        <v>23.131874985407801</v>
      </c>
      <c r="CU65" s="124">
        <v>24.314172925182302</v>
      </c>
      <c r="CV65" s="124">
        <v>24.786348202558401</v>
      </c>
      <c r="CW65" s="124">
        <f t="shared" ref="CW65:CW67" si="107">CU65</f>
        <v>24.314172925182302</v>
      </c>
      <c r="CX65" s="124">
        <f>[9]ЭЗnew!$AL$372</f>
        <v>25.272793541329701</v>
      </c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</row>
    <row r="66" spans="1:147" ht="30">
      <c r="A66" s="125" t="s">
        <v>82</v>
      </c>
      <c r="B66" s="126" t="s">
        <v>449</v>
      </c>
      <c r="C66" s="122" t="s">
        <v>447</v>
      </c>
      <c r="D66" s="124">
        <f>[7]Расчет_тарифа_стр.1_3!D67</f>
        <v>30.7996759993176</v>
      </c>
      <c r="E66" s="124">
        <f>[7]Расчет_тарифа_стр.1_3!E67</f>
        <v>29.47</v>
      </c>
      <c r="F66" s="124">
        <f>[7]Расчет_тарифа_стр.1_3!F67</f>
        <v>32.15</v>
      </c>
      <c r="G66" s="124">
        <f>[7]Расчет_тарифа_стр.1_3!G67</f>
        <v>30.7996759993176</v>
      </c>
      <c r="H66" s="124">
        <f>[7]Расчет_тарифа_стр.1_3!H67</f>
        <v>33.176949902272398</v>
      </c>
      <c r="I66" s="124">
        <f>[7]Расчет_тарифа_стр.1_3!I67</f>
        <v>32.15</v>
      </c>
      <c r="J66" s="124">
        <f>[7]Расчет_тарифа_стр.1_3!J67</f>
        <v>34.221524762026</v>
      </c>
      <c r="K66" s="124">
        <f>[7]Расчет_тарифа_стр.1_3!K67</f>
        <v>33.176949902272398</v>
      </c>
      <c r="L66" s="124">
        <v>36.664702405720597</v>
      </c>
      <c r="M66" s="124">
        <v>34.221526124141697</v>
      </c>
      <c r="N66" s="124">
        <v>39.662751751637202</v>
      </c>
      <c r="O66" s="283">
        <v>27.155781732895498</v>
      </c>
      <c r="P66" s="124">
        <f t="shared" si="50"/>
        <v>-9.5089206728250986</v>
      </c>
      <c r="Q66" s="124">
        <v>39.924797051938697</v>
      </c>
      <c r="R66" s="124">
        <v>39.662751751637202</v>
      </c>
      <c r="S66" s="124">
        <v>40.286467466013001</v>
      </c>
      <c r="T66" s="124">
        <v>40.43</v>
      </c>
      <c r="U66" s="124">
        <f t="shared" si="51"/>
        <v>0.50520294806130295</v>
      </c>
      <c r="V66" s="124">
        <v>43.788123736392798</v>
      </c>
      <c r="W66" s="124">
        <v>40.286467466013001</v>
      </c>
      <c r="X66" s="124">
        <v>48.621049462583002</v>
      </c>
      <c r="Y66" s="124">
        <v>47.990088236569299</v>
      </c>
      <c r="Z66" s="124">
        <v>48.621049462583002</v>
      </c>
      <c r="AA66" s="124">
        <v>47.119246410309898</v>
      </c>
      <c r="AB66" s="124">
        <v>51.497607046552403</v>
      </c>
      <c r="AC66" s="124">
        <f t="shared" si="106"/>
        <v>47.119246410309898</v>
      </c>
      <c r="AD66" s="124">
        <f>[9]ЭЗnew!$AL$270</f>
        <v>57.540545051755302</v>
      </c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 t="e">
        <f>#DIV/0!</f>
        <v>#DIV/0!</v>
      </c>
      <c r="BY66" s="124">
        <v>0</v>
      </c>
      <c r="BZ66" s="124">
        <v>0</v>
      </c>
      <c r="CA66" s="124">
        <v>0</v>
      </c>
      <c r="CB66" s="124" t="e">
        <f>#DIV/0!</f>
        <v>#DIV/0!</v>
      </c>
      <c r="CC66" s="124">
        <v>0</v>
      </c>
      <c r="CD66" s="124">
        <v>42.7804161162165</v>
      </c>
      <c r="CE66" s="124" t="e">
        <f>#DIV/0!</f>
        <v>#DIV/0!</v>
      </c>
      <c r="CF66" s="124">
        <v>46.155925844388001</v>
      </c>
      <c r="CG66" s="124">
        <v>42.780430632342501</v>
      </c>
      <c r="CH66" s="124">
        <v>49.625295861289203</v>
      </c>
      <c r="CI66" s="124">
        <v>34.601051101510102</v>
      </c>
      <c r="CJ66" s="277">
        <f t="shared" si="52"/>
        <v>-11.5548747428779</v>
      </c>
      <c r="CK66" s="124">
        <v>50.169720952020597</v>
      </c>
      <c r="CL66" s="124">
        <v>49.625295861289203</v>
      </c>
      <c r="CM66" s="124">
        <v>50.729286872745902</v>
      </c>
      <c r="CN66" s="124">
        <v>50.625</v>
      </c>
      <c r="CO66" s="124">
        <f t="shared" si="53"/>
        <v>0.45527904797940266</v>
      </c>
      <c r="CP66" s="124">
        <v>52.280103236860697</v>
      </c>
      <c r="CQ66" s="124">
        <v>50.729286872745902</v>
      </c>
      <c r="CR66" s="124">
        <v>53.874048852952697</v>
      </c>
      <c r="CS66" s="124">
        <v>55.1992841258905</v>
      </c>
      <c r="CT66" s="124">
        <v>53.874048852952697</v>
      </c>
      <c r="CU66" s="124">
        <v>56.561375088088496</v>
      </c>
      <c r="CV66" s="124">
        <v>57.627197422374799</v>
      </c>
      <c r="CW66" s="124">
        <f t="shared" si="107"/>
        <v>56.561375088088496</v>
      </c>
      <c r="CX66" s="124">
        <f>[9]ЭЗnew!$AL$373</f>
        <v>58.722660996644102</v>
      </c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</row>
    <row r="67" spans="1:147" ht="60">
      <c r="A67" s="125" t="s">
        <v>90</v>
      </c>
      <c r="B67" s="126" t="s">
        <v>450</v>
      </c>
      <c r="C67" s="122" t="s">
        <v>447</v>
      </c>
      <c r="D67" s="124">
        <f>[7]Расчет_тарифа_стр.1_3!D68</f>
        <v>52.1918048024787</v>
      </c>
      <c r="E67" s="124">
        <f>[7]Расчет_тарифа_стр.1_3!E68</f>
        <v>49.91</v>
      </c>
      <c r="F67" s="124">
        <f>[7]Расчет_тарифа_стр.1_3!F68</f>
        <v>54.45</v>
      </c>
      <c r="G67" s="124">
        <f>[7]Расчет_тарифа_стр.1_3!G68</f>
        <v>52.1918048024787</v>
      </c>
      <c r="H67" s="124">
        <f>[7]Расчет_тарифа_стр.1_3!H68</f>
        <v>44.422785379752</v>
      </c>
      <c r="I67" s="124">
        <f>[7]Расчет_тарифа_стр.1_3!I68</f>
        <v>54.45</v>
      </c>
      <c r="J67" s="124">
        <f>[7]Расчет_тарифа_стр.1_3!J68</f>
        <v>34.221524762026</v>
      </c>
      <c r="K67" s="124">
        <f>[7]Расчет_тарифа_стр.1_3!K68</f>
        <v>44.422785379752</v>
      </c>
      <c r="L67" s="124">
        <v>36.664702405720597</v>
      </c>
      <c r="M67" s="124">
        <v>34.221526124141697</v>
      </c>
      <c r="N67" s="124">
        <v>39.662751751637202</v>
      </c>
      <c r="O67" s="124"/>
      <c r="P67" s="124"/>
      <c r="Q67" s="124">
        <v>39.972233494992402</v>
      </c>
      <c r="R67" s="124">
        <v>39.662751751637202</v>
      </c>
      <c r="S67" s="124">
        <v>40.286467466013001</v>
      </c>
      <c r="T67" s="124">
        <v>0</v>
      </c>
      <c r="U67" s="124"/>
      <c r="V67" s="124">
        <v>44.422006954570797</v>
      </c>
      <c r="W67" s="124">
        <v>40.286467466013001</v>
      </c>
      <c r="X67" s="124">
        <v>48.621049462583002</v>
      </c>
      <c r="Y67" s="124">
        <v>47.8758692208783</v>
      </c>
      <c r="Z67" s="124">
        <v>48.621049462583002</v>
      </c>
      <c r="AA67" s="124">
        <v>47.119246410309898</v>
      </c>
      <c r="AB67" s="124">
        <v>52.290194644005098</v>
      </c>
      <c r="AC67" s="124">
        <f t="shared" si="106"/>
        <v>47.119246410309898</v>
      </c>
      <c r="AD67" s="124">
        <f>[9]ЭЗnew!$AL$270</f>
        <v>57.540545051755302</v>
      </c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>
        <v>38.498405619352802</v>
      </c>
      <c r="BY67" s="124">
        <v>36.85</v>
      </c>
      <c r="BZ67" s="124">
        <v>40.200000000000003</v>
      </c>
      <c r="CA67" s="124">
        <v>36.85</v>
      </c>
      <c r="CB67" s="124">
        <v>41.469723112310398</v>
      </c>
      <c r="CC67" s="124">
        <v>40.200000000000003</v>
      </c>
      <c r="CD67" s="124">
        <v>42.7804161162165</v>
      </c>
      <c r="CE67" s="124">
        <v>41.469723112310398</v>
      </c>
      <c r="CF67" s="124">
        <v>0</v>
      </c>
      <c r="CG67" s="124">
        <v>0</v>
      </c>
      <c r="CH67" s="124">
        <v>0</v>
      </c>
      <c r="CI67" s="124"/>
      <c r="CJ67" s="124"/>
      <c r="CK67" s="124">
        <v>0</v>
      </c>
      <c r="CL67" s="124">
        <v>0</v>
      </c>
      <c r="CM67" s="124">
        <v>0</v>
      </c>
      <c r="CN67" s="124">
        <v>0</v>
      </c>
      <c r="CO67" s="124"/>
      <c r="CP67" s="124">
        <v>0</v>
      </c>
      <c r="CQ67" s="124">
        <v>0</v>
      </c>
      <c r="CR67" s="124">
        <v>0</v>
      </c>
      <c r="CS67" s="124">
        <v>0</v>
      </c>
      <c r="CT67" s="124">
        <v>0</v>
      </c>
      <c r="CU67" s="124">
        <v>0</v>
      </c>
      <c r="CV67" s="124">
        <v>0</v>
      </c>
      <c r="CW67" s="124">
        <f t="shared" si="107"/>
        <v>0</v>
      </c>
      <c r="CX67" s="124">
        <v>0</v>
      </c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</row>
    <row r="68" spans="1:147">
      <c r="A68" s="117">
        <v>6</v>
      </c>
      <c r="B68" s="121" t="s">
        <v>451</v>
      </c>
      <c r="C68" s="122" t="s">
        <v>16</v>
      </c>
      <c r="D68" s="124" t="str">
        <f>[7]Расчет_тарифа_стр.1_3!D69</f>
        <v>х</v>
      </c>
      <c r="E68" s="124" t="str">
        <f>[7]Расчет_тарифа_стр.1_3!E69</f>
        <v>х</v>
      </c>
      <c r="F68" s="124" t="str">
        <f>[7]Расчет_тарифа_стр.1_3!F69</f>
        <v>х</v>
      </c>
      <c r="G68" s="124" t="str">
        <f>[7]Расчет_тарифа_стр.1_3!G69</f>
        <v>х</v>
      </c>
      <c r="H68" s="124">
        <f>[7]Расчет_тарифа_стр.1_3!H69</f>
        <v>1.08400776816305</v>
      </c>
      <c r="I68" s="124">
        <f>[7]Расчет_тарифа_стр.1_3!I69</f>
        <v>1.1005817034786001</v>
      </c>
      <c r="J68" s="124">
        <f>[7]Расчет_тарифа_стр.1_3!J69</f>
        <v>1.06723489138225</v>
      </c>
      <c r="K68" s="124">
        <f>[7]Расчет_тарифа_стр.1_3!K69</f>
        <v>0</v>
      </c>
      <c r="L68" s="284">
        <f>L59/H59</f>
        <v>1.005637922391825</v>
      </c>
      <c r="M68" s="172">
        <f>M59/J59</f>
        <v>1.0052397126977048</v>
      </c>
      <c r="N68" s="172">
        <f>N59/M59</f>
        <v>1.0444338673277287</v>
      </c>
      <c r="O68" s="284">
        <f>O59/L59</f>
        <v>1.0476970092242563</v>
      </c>
      <c r="P68" s="172"/>
      <c r="Q68" s="172">
        <f t="shared" ref="Q68:V68" si="108">Q59/L59</f>
        <v>1.064977536747399</v>
      </c>
      <c r="R68" s="172">
        <f>R59/N59</f>
        <v>1.1096921257131123</v>
      </c>
      <c r="S68" s="172">
        <f>S59/R59</f>
        <v>0.87858159786795986</v>
      </c>
      <c r="T68" s="172">
        <f t="shared" si="108"/>
        <v>1.0376335672761881</v>
      </c>
      <c r="U68" s="172"/>
      <c r="V68" s="172">
        <f t="shared" si="108"/>
        <v>1.0616697356617169</v>
      </c>
      <c r="W68" s="172">
        <f>W59/S59</f>
        <v>1.1129606220713297</v>
      </c>
      <c r="X68" s="172">
        <f>X59/W59</f>
        <v>1.0396591585805577</v>
      </c>
      <c r="Y68" s="172">
        <f>Y59/V59</f>
        <v>1.0422695428194992</v>
      </c>
      <c r="Z68" s="172">
        <f>Z59/X59</f>
        <v>1.1164640223027644</v>
      </c>
      <c r="AA68" s="172">
        <f>AA59/Z59</f>
        <v>0.83147889063232638</v>
      </c>
      <c r="AB68" s="172">
        <f>AB59/Y59</f>
        <v>1.0393142986268618</v>
      </c>
      <c r="AC68" s="172">
        <f>AC59/AA59</f>
        <v>1.1201964871062795</v>
      </c>
      <c r="AD68" s="172">
        <f>AD59/AC59</f>
        <v>1.043635371768028</v>
      </c>
      <c r="AE68" s="284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284"/>
      <c r="BV68" s="172"/>
      <c r="BW68" s="172"/>
      <c r="BX68" s="172" t="s">
        <v>29</v>
      </c>
      <c r="BY68" s="172" t="s">
        <v>29</v>
      </c>
      <c r="BZ68" s="172" t="s">
        <v>29</v>
      </c>
      <c r="CA68" s="172" t="s">
        <v>29</v>
      </c>
      <c r="CB68" s="172">
        <v>1.08368458789213</v>
      </c>
      <c r="CC68" s="172">
        <v>1.0908784925005699</v>
      </c>
      <c r="CD68" s="172">
        <v>1.0772400633064401</v>
      </c>
      <c r="CE68" s="172">
        <v>0</v>
      </c>
      <c r="CF68" s="172">
        <f>[9]ЭЗnew!$L$370</f>
        <v>1.0281412527695399</v>
      </c>
      <c r="CG68" s="172">
        <f>CG59/98844</f>
        <v>0.94417924025387423</v>
      </c>
      <c r="CH68" s="172">
        <f>CH59/CG59</f>
        <v>1.1271042869432477</v>
      </c>
      <c r="CI68" s="284">
        <f>CI59/CF59</f>
        <v>1.0220360867129659</v>
      </c>
      <c r="CJ68" s="285"/>
      <c r="CK68" s="285">
        <f t="shared" ref="CK68:CP68" si="109">CK59/CF59</f>
        <v>1.0873698666569902</v>
      </c>
      <c r="CL68" s="172">
        <f>CL59/CH59</f>
        <v>1.0291860093233116</v>
      </c>
      <c r="CM68" s="172">
        <f>CM59/CL59</f>
        <v>0.99392161305494053</v>
      </c>
      <c r="CN68" s="172">
        <f t="shared" si="109"/>
        <v>1.0474981952123732</v>
      </c>
      <c r="CO68" s="172"/>
      <c r="CP68" s="285">
        <f t="shared" si="109"/>
        <v>1.0427554732145059</v>
      </c>
      <c r="CQ68" s="172">
        <f>CQ59/CM59</f>
        <v>1.0291867793026503</v>
      </c>
      <c r="CR68" s="172">
        <f>CR59/CQ59</f>
        <v>1.0325640775211178</v>
      </c>
      <c r="CS68" s="285">
        <f>CS59/CP59</f>
        <v>1.0565457595659393</v>
      </c>
      <c r="CT68" s="172">
        <f>CT59/CR59</f>
        <v>1.0291874530440106</v>
      </c>
      <c r="CU68" s="172">
        <f>CU59/CT59</f>
        <v>1.020789432219108</v>
      </c>
      <c r="CV68" s="285">
        <f>CV59/CS59</f>
        <v>1.0446848337270205</v>
      </c>
      <c r="CW68" s="172">
        <f>CW59/CU59</f>
        <v>1.0291881233311024</v>
      </c>
      <c r="CX68" s="172">
        <f>CX59/CW59</f>
        <v>1.0094417471348469</v>
      </c>
      <c r="CY68" s="285"/>
      <c r="CZ68" s="172"/>
      <c r="DA68" s="172"/>
      <c r="DB68" s="285"/>
      <c r="DC68" s="172"/>
      <c r="DD68" s="172"/>
      <c r="DE68" s="285"/>
      <c r="DF68" s="172"/>
      <c r="DG68" s="172"/>
      <c r="DH68" s="285"/>
      <c r="DI68" s="172"/>
      <c r="DJ68" s="172"/>
      <c r="DK68" s="285"/>
      <c r="DL68" s="172"/>
      <c r="DM68" s="172"/>
      <c r="DN68" s="285"/>
      <c r="DO68" s="172"/>
      <c r="DP68" s="172"/>
      <c r="DQ68" s="285"/>
      <c r="DR68" s="172"/>
      <c r="DS68" s="172"/>
      <c r="DT68" s="285"/>
      <c r="DU68" s="172"/>
      <c r="DV68" s="172"/>
      <c r="DW68" s="285"/>
      <c r="DX68" s="172"/>
      <c r="DY68" s="172"/>
      <c r="DZ68" s="285"/>
      <c r="EA68" s="172"/>
      <c r="EB68" s="172"/>
      <c r="EC68" s="285"/>
      <c r="ED68" s="172"/>
      <c r="EE68" s="172"/>
      <c r="EF68" s="285"/>
      <c r="EG68" s="172"/>
      <c r="EH68" s="172"/>
      <c r="EI68" s="285"/>
      <c r="EJ68" s="172"/>
      <c r="EK68" s="172"/>
      <c r="EL68" s="285"/>
      <c r="EM68" s="172"/>
      <c r="EN68" s="172"/>
      <c r="EO68" s="285"/>
      <c r="EP68" s="172"/>
      <c r="EQ68" s="172"/>
    </row>
    <row r="69" spans="1:147">
      <c r="A69" s="117" t="s">
        <v>156</v>
      </c>
      <c r="B69" s="121" t="s">
        <v>452</v>
      </c>
      <c r="C69" s="122" t="s">
        <v>16</v>
      </c>
      <c r="D69" s="124" t="str">
        <f>[7]Расчет_тарифа_стр.1_3!D70</f>
        <v>х</v>
      </c>
      <c r="E69" s="124" t="str">
        <f>[7]Расчет_тарифа_стр.1_3!E70</f>
        <v>х</v>
      </c>
      <c r="F69" s="124" t="str">
        <f>[7]Расчет_тарифа_стр.1_3!F70</f>
        <v>х</v>
      </c>
      <c r="G69" s="124" t="str">
        <f>[7]Расчет_тарифа_стр.1_3!G70</f>
        <v>х</v>
      </c>
      <c r="H69" s="124">
        <f>[7]Расчет_тарифа_стр.1_3!H70</f>
        <v>1.08404868872975</v>
      </c>
      <c r="I69" s="124">
        <f>[7]Расчет_тарифа_стр.1_3!I70</f>
        <v>1.1020553784487099</v>
      </c>
      <c r="J69" s="124">
        <f>[7]Расчет_тарифа_стр.1_3!J70</f>
        <v>1.06585375617318</v>
      </c>
      <c r="K69" s="124">
        <f>[7]Расчет_тарифа_стр.1_3!K70</f>
        <v>0</v>
      </c>
      <c r="L69" s="172">
        <f>L64/H64</f>
        <v>1.041453079517682</v>
      </c>
      <c r="M69" s="172">
        <f>M64/J64</f>
        <v>0.99134064635970331</v>
      </c>
      <c r="N69" s="172">
        <f>N64/M64</f>
        <v>1.1267381118509876</v>
      </c>
      <c r="O69" s="172">
        <f>O64/L64</f>
        <v>1.0849593500790373</v>
      </c>
      <c r="P69" s="172"/>
      <c r="Q69" s="172">
        <f t="shared" ref="Q69:V69" si="110">Q64/L64</f>
        <v>1.0649775367473988</v>
      </c>
      <c r="R69" s="172">
        <f>R64/N64</f>
        <v>1.0286330303478304</v>
      </c>
      <c r="S69" s="172">
        <f>S64/R64</f>
        <v>0.94781623007073768</v>
      </c>
      <c r="T69" s="172">
        <f t="shared" si="110"/>
        <v>1.0960845088472635</v>
      </c>
      <c r="U69" s="172"/>
      <c r="V69" s="172">
        <f t="shared" si="110"/>
        <v>1.0616697356617169</v>
      </c>
      <c r="W69" s="172">
        <f>W64/S64</f>
        <v>1.0316627745766391</v>
      </c>
      <c r="X69" s="172">
        <f>X64/W64</f>
        <v>1.1215871429991342</v>
      </c>
      <c r="Y69" s="172">
        <f>Y64/V64</f>
        <v>1.0422695428194995</v>
      </c>
      <c r="Z69" s="172">
        <f>Z64/X64</f>
        <v>1.0349102637793459</v>
      </c>
      <c r="AA69" s="172">
        <f>AA64/Z64</f>
        <v>0.89700170071280172</v>
      </c>
      <c r="AB69" s="172">
        <f>AB64/Y64</f>
        <v>1.0393142986268618</v>
      </c>
      <c r="AC69" s="172">
        <f>AC64/AA64</f>
        <v>1.0383700851951636</v>
      </c>
      <c r="AD69" s="172">
        <f>AD64/AC64</f>
        <v>1.1258766926578698</v>
      </c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 t="s">
        <v>29</v>
      </c>
      <c r="BY69" s="172" t="s">
        <v>29</v>
      </c>
      <c r="BZ69" s="172" t="s">
        <v>29</v>
      </c>
      <c r="CA69" s="172" t="s">
        <v>29</v>
      </c>
      <c r="CB69" s="172">
        <v>1.08368458789213</v>
      </c>
      <c r="CC69" s="172">
        <v>1.0908784925005699</v>
      </c>
      <c r="CD69" s="172">
        <v>1.02500982482738</v>
      </c>
      <c r="CE69" s="172">
        <v>0</v>
      </c>
      <c r="CF69" s="172">
        <f>[9]ЭЗnew!$K$375</f>
        <v>1.0749477017833799</v>
      </c>
      <c r="CG69" s="172">
        <f>CG64/22.3</f>
        <v>0.95833269100161156</v>
      </c>
      <c r="CH69" s="172">
        <f>CH64/CG64</f>
        <v>1.1605840047005174</v>
      </c>
      <c r="CI69" s="172">
        <f>CI64/CF64</f>
        <v>0.99264279155274859</v>
      </c>
      <c r="CJ69" s="172"/>
      <c r="CK69" s="172">
        <f t="shared" ref="CK69:CP69" si="111">CK64/CF64</f>
        <v>1.0873698666569902</v>
      </c>
      <c r="CL69" s="172">
        <f>CL64/CH64</f>
        <v>0.99949676927492193</v>
      </c>
      <c r="CM69" s="172">
        <f>CM64/CL64</f>
        <v>1.0234452476142375</v>
      </c>
      <c r="CN69" s="172">
        <f t="shared" si="111"/>
        <v>1.0756338321476826</v>
      </c>
      <c r="CO69" s="172"/>
      <c r="CP69" s="172">
        <f t="shared" si="111"/>
        <v>1.0427554732145059</v>
      </c>
      <c r="CQ69" s="172">
        <f>CQ64/CM64</f>
        <v>0.99949751704243373</v>
      </c>
      <c r="CR69" s="172">
        <f>CR64/CQ64</f>
        <v>1.0632355551138946</v>
      </c>
      <c r="CS69" s="172">
        <f>CS64/CP64</f>
        <v>1.0565457595659393</v>
      </c>
      <c r="CT69" s="172">
        <f>CT64/CR64</f>
        <v>0.99949817134817343</v>
      </c>
      <c r="CU69" s="172">
        <f>CU64/CT64</f>
        <v>1.0511111535329229</v>
      </c>
      <c r="CV69" s="172">
        <f>CV64/CS64</f>
        <v>1.0446848337270207</v>
      </c>
      <c r="CW69" s="172">
        <f>CW64/CU64</f>
        <v>0.99949882229929066</v>
      </c>
      <c r="CX69" s="172">
        <f>CX64/CW64</f>
        <v>1.0394263946763229</v>
      </c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</row>
    <row r="73" spans="1:147" ht="15" customHeight="1">
      <c r="B73" s="600" t="s">
        <v>312</v>
      </c>
      <c r="C73" s="600"/>
      <c r="CJ73" s="97" t="s">
        <v>313</v>
      </c>
      <c r="CO73" s="97" t="s">
        <v>313</v>
      </c>
    </row>
  </sheetData>
  <mergeCells count="98">
    <mergeCell ref="W1:AC1"/>
    <mergeCell ref="L2:CO2"/>
    <mergeCell ref="A3:CO3"/>
    <mergeCell ref="D4:BW4"/>
    <mergeCell ref="BX4:EQ4"/>
    <mergeCell ref="D5:G5"/>
    <mergeCell ref="H5:K5"/>
    <mergeCell ref="L5:P5"/>
    <mergeCell ref="Q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BU5:BW5"/>
    <mergeCell ref="BX5:CA5"/>
    <mergeCell ref="CB5:CE5"/>
    <mergeCell ref="CF5:CJ5"/>
    <mergeCell ref="CK5:CO5"/>
    <mergeCell ref="CP5:CR5"/>
    <mergeCell ref="CS5:CU5"/>
    <mergeCell ref="CV5:CX5"/>
    <mergeCell ref="CY5:DA5"/>
    <mergeCell ref="DB5:DD5"/>
    <mergeCell ref="DE5:DG5"/>
    <mergeCell ref="DH5:DJ5"/>
    <mergeCell ref="DK5:DM5"/>
    <mergeCell ref="DN5:DP5"/>
    <mergeCell ref="DQ5:DS5"/>
    <mergeCell ref="DT5:DV5"/>
    <mergeCell ref="DW5:DY5"/>
    <mergeCell ref="DZ5:EB5"/>
    <mergeCell ref="EC5:EE5"/>
    <mergeCell ref="EF5:EH5"/>
    <mergeCell ref="EI5:EK5"/>
    <mergeCell ref="EL5:EN5"/>
    <mergeCell ref="EO5:EQ5"/>
    <mergeCell ref="D7:G7"/>
    <mergeCell ref="H7:K7"/>
    <mergeCell ref="L7:N7"/>
    <mergeCell ref="Q7:S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BO7:BQ7"/>
    <mergeCell ref="BR7:BT7"/>
    <mergeCell ref="BU7:BW7"/>
    <mergeCell ref="BX7:CA7"/>
    <mergeCell ref="CB7:CE7"/>
    <mergeCell ref="CF7:CH7"/>
    <mergeCell ref="CK7:CM7"/>
    <mergeCell ref="CP7:CR7"/>
    <mergeCell ref="DT7:DV7"/>
    <mergeCell ref="CS7:CU7"/>
    <mergeCell ref="CV7:CX7"/>
    <mergeCell ref="CY7:DA7"/>
    <mergeCell ref="DB7:DD7"/>
    <mergeCell ref="DE7:DG7"/>
    <mergeCell ref="EL7:EN7"/>
    <mergeCell ref="EO7:EQ7"/>
    <mergeCell ref="A58:C58"/>
    <mergeCell ref="B73:C73"/>
    <mergeCell ref="A4:A7"/>
    <mergeCell ref="B4:B7"/>
    <mergeCell ref="C4:C7"/>
    <mergeCell ref="DW7:DY7"/>
    <mergeCell ref="DZ7:EB7"/>
    <mergeCell ref="EC7:EE7"/>
    <mergeCell ref="EF7:EH7"/>
    <mergeCell ref="EI7:EK7"/>
    <mergeCell ref="DH7:DJ7"/>
    <mergeCell ref="DK7:DM7"/>
    <mergeCell ref="DN7:DP7"/>
    <mergeCell ref="DQ7:DS7"/>
  </mergeCells>
  <pageMargins left="0.59027777777777801" right="0.59027777777777801" top="0.59027777777777801" bottom="0.59027777777777801" header="0.51041666666666696" footer="0.51041666666666696"/>
  <pageSetup paperSize="9" scale="84" firstPageNumber="0" fitToHeight="0" orientation="landscape" useFirstPageNumber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view="pageBreakPreview" zoomScaleNormal="100" zoomScaleSheetLayoutView="100" workbookViewId="0">
      <selection activeCell="A3" sqref="A3"/>
    </sheetView>
  </sheetViews>
  <sheetFormatPr defaultColWidth="9" defaultRowHeight="15" outlineLevelCol="1"/>
  <cols>
    <col min="1" max="1" width="6.85546875" style="36" customWidth="1"/>
    <col min="2" max="2" width="48.5703125" style="37" customWidth="1"/>
    <col min="3" max="3" width="18.7109375" style="39" hidden="1" customWidth="1"/>
    <col min="4" max="5" width="17" style="39" hidden="1" customWidth="1"/>
    <col min="6" max="7" width="17.85546875" style="37" hidden="1" customWidth="1"/>
    <col min="8" max="8" width="18.7109375" style="37" hidden="1" customWidth="1"/>
    <col min="9" max="10" width="17.85546875" style="37" customWidth="1"/>
    <col min="11" max="11" width="18.7109375" style="37" customWidth="1"/>
    <col min="12" max="28" width="12.42578125" style="37" hidden="1" customWidth="1" outlineLevel="1"/>
    <col min="29" max="29" width="12.42578125" style="34" hidden="1" customWidth="1" outlineLevel="1"/>
    <col min="30" max="30" width="9.140625" style="34" customWidth="1" collapsed="1"/>
    <col min="31" max="31" width="19.42578125" style="34" customWidth="1"/>
    <col min="32" max="32" width="9.140625" style="34" customWidth="1"/>
    <col min="33" max="33" width="9.7109375" style="34" customWidth="1"/>
    <col min="34" max="1025" width="9.140625" style="34" customWidth="1"/>
  </cols>
  <sheetData>
    <row r="1" spans="1:31" ht="31.5" customHeight="1">
      <c r="B1" s="607" t="s">
        <v>453</v>
      </c>
      <c r="C1" s="607"/>
      <c r="D1" s="607"/>
      <c r="E1" s="607"/>
      <c r="F1" s="607"/>
      <c r="G1" s="607"/>
      <c r="H1" s="607"/>
      <c r="I1" s="607"/>
      <c r="J1" s="607"/>
      <c r="K1" s="607"/>
      <c r="V1" s="608" t="s">
        <v>454</v>
      </c>
      <c r="W1" s="608"/>
      <c r="X1" s="608"/>
      <c r="Y1" s="608"/>
      <c r="Z1" s="608"/>
      <c r="AA1" s="608"/>
    </row>
    <row r="2" spans="1:31" ht="46.5" customHeight="1">
      <c r="A2" s="609" t="s">
        <v>455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</row>
    <row r="3" spans="1:31" s="34" customFormat="1" ht="15.75">
      <c r="A3" s="41"/>
      <c r="B3" s="42"/>
      <c r="C3" s="44"/>
      <c r="D3" s="44"/>
      <c r="E3" s="44"/>
      <c r="F3" s="45" t="s">
        <v>456</v>
      </c>
      <c r="G3" s="45"/>
      <c r="H3" s="45"/>
      <c r="I3" s="45"/>
      <c r="J3" s="45"/>
      <c r="K3" s="45"/>
      <c r="L3" s="45"/>
      <c r="M3" s="45"/>
      <c r="N3" s="45"/>
      <c r="O3" s="45"/>
      <c r="P3" s="83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31" ht="20.25" customHeight="1">
      <c r="A4" s="611" t="s">
        <v>1</v>
      </c>
      <c r="B4" s="611" t="s">
        <v>457</v>
      </c>
      <c r="C4" s="612" t="s">
        <v>458</v>
      </c>
      <c r="D4" s="612"/>
      <c r="E4" s="612"/>
      <c r="F4" s="610" t="s">
        <v>459</v>
      </c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</row>
    <row r="5" spans="1:31" ht="20.25" customHeight="1">
      <c r="A5" s="611"/>
      <c r="B5" s="611"/>
      <c r="C5" s="612"/>
      <c r="D5" s="612"/>
      <c r="E5" s="612"/>
      <c r="F5" s="610" t="s">
        <v>276</v>
      </c>
      <c r="G5" s="610"/>
      <c r="H5" s="610"/>
      <c r="I5" s="610" t="s">
        <v>277</v>
      </c>
      <c r="J5" s="610"/>
      <c r="K5" s="610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1" ht="20.25" customHeight="1">
      <c r="A6" s="611"/>
      <c r="B6" s="611"/>
      <c r="C6" s="47" t="s">
        <v>8</v>
      </c>
      <c r="D6" s="47" t="s">
        <v>460</v>
      </c>
      <c r="E6" s="47" t="s">
        <v>279</v>
      </c>
      <c r="F6" s="48" t="s">
        <v>8</v>
      </c>
      <c r="G6" s="48" t="s">
        <v>7</v>
      </c>
      <c r="H6" s="48" t="s">
        <v>279</v>
      </c>
      <c r="I6" s="48" t="s">
        <v>8</v>
      </c>
      <c r="J6" s="48" t="s">
        <v>7</v>
      </c>
      <c r="K6" s="48" t="s">
        <v>279</v>
      </c>
      <c r="L6" s="48">
        <v>2019</v>
      </c>
      <c r="M6" s="48">
        <v>2020</v>
      </c>
      <c r="N6" s="48">
        <v>2021</v>
      </c>
      <c r="O6" s="48">
        <v>2022</v>
      </c>
      <c r="P6" s="48">
        <v>2023</v>
      </c>
      <c r="Q6" s="48">
        <v>2024</v>
      </c>
      <c r="R6" s="48">
        <v>2025</v>
      </c>
      <c r="S6" s="48">
        <v>2026</v>
      </c>
      <c r="T6" s="48">
        <v>2027</v>
      </c>
      <c r="U6" s="48">
        <v>2028</v>
      </c>
      <c r="V6" s="48">
        <v>2029</v>
      </c>
      <c r="W6" s="48">
        <v>2030</v>
      </c>
      <c r="X6" s="48">
        <v>2031</v>
      </c>
      <c r="Y6" s="48">
        <v>2032</v>
      </c>
      <c r="Z6" s="48">
        <v>2033</v>
      </c>
      <c r="AA6" s="48">
        <v>2034</v>
      </c>
      <c r="AB6" s="48">
        <v>2035</v>
      </c>
      <c r="AC6" s="48">
        <v>2036</v>
      </c>
      <c r="AE6" s="34" t="s">
        <v>292</v>
      </c>
    </row>
    <row r="7" spans="1:31" ht="20.25" customHeight="1">
      <c r="A7" s="50" t="s">
        <v>111</v>
      </c>
      <c r="B7" s="50" t="s">
        <v>117</v>
      </c>
      <c r="C7" s="50" t="s">
        <v>125</v>
      </c>
      <c r="D7" s="50" t="s">
        <v>136</v>
      </c>
      <c r="E7" s="50" t="s">
        <v>348</v>
      </c>
      <c r="F7" s="50" t="s">
        <v>153</v>
      </c>
      <c r="G7" s="50" t="s">
        <v>161</v>
      </c>
      <c r="H7" s="50" t="s">
        <v>164</v>
      </c>
      <c r="I7" s="50" t="s">
        <v>125</v>
      </c>
      <c r="J7" s="50" t="s">
        <v>136</v>
      </c>
      <c r="K7" s="50" t="s">
        <v>348</v>
      </c>
      <c r="L7" s="50" t="s">
        <v>208</v>
      </c>
      <c r="M7" s="50" t="s">
        <v>211</v>
      </c>
      <c r="N7" s="50" t="s">
        <v>223</v>
      </c>
      <c r="O7" s="50" t="s">
        <v>234</v>
      </c>
      <c r="P7" s="50" t="s">
        <v>245</v>
      </c>
      <c r="Q7" s="50" t="s">
        <v>263</v>
      </c>
      <c r="R7" s="50" t="s">
        <v>461</v>
      </c>
      <c r="S7" s="50" t="s">
        <v>462</v>
      </c>
      <c r="T7" s="50" t="s">
        <v>463</v>
      </c>
      <c r="U7" s="50" t="s">
        <v>464</v>
      </c>
      <c r="V7" s="50" t="s">
        <v>465</v>
      </c>
      <c r="W7" s="50" t="s">
        <v>466</v>
      </c>
      <c r="X7" s="50" t="s">
        <v>467</v>
      </c>
      <c r="Y7" s="50" t="s">
        <v>468</v>
      </c>
      <c r="Z7" s="50" t="s">
        <v>469</v>
      </c>
      <c r="AA7" s="50" t="s">
        <v>470</v>
      </c>
      <c r="AB7" s="50" t="s">
        <v>471</v>
      </c>
      <c r="AC7" s="50" t="s">
        <v>472</v>
      </c>
    </row>
    <row r="8" spans="1:31" ht="20.25" customHeight="1">
      <c r="A8" s="50"/>
      <c r="B8" s="53" t="s">
        <v>314</v>
      </c>
      <c r="C8" s="52"/>
      <c r="D8" s="52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31" ht="28.5">
      <c r="A9" s="46">
        <v>1</v>
      </c>
      <c r="B9" s="54" t="s">
        <v>473</v>
      </c>
      <c r="C9" s="265">
        <f t="shared" ref="C9:AC9" si="0">C10+C11+C12</f>
        <v>785267.94489270623</v>
      </c>
      <c r="D9" s="265">
        <f t="shared" si="0"/>
        <v>127908.55417404808</v>
      </c>
      <c r="E9" s="265">
        <f t="shared" si="0"/>
        <v>-657359.39071865834</v>
      </c>
      <c r="F9" s="266">
        <f t="shared" si="0"/>
        <v>172863.00693894419</v>
      </c>
      <c r="G9" s="266">
        <f t="shared" si="0"/>
        <v>109642.37354999999</v>
      </c>
      <c r="H9" s="266">
        <f t="shared" si="0"/>
        <v>-63220.633388944188</v>
      </c>
      <c r="I9" s="266">
        <f t="shared" si="0"/>
        <v>23720.368955245271</v>
      </c>
      <c r="J9" s="266">
        <f t="shared" si="0"/>
        <v>18266.180624048073</v>
      </c>
      <c r="K9" s="266">
        <f t="shared" si="0"/>
        <v>-5454.188331197196</v>
      </c>
      <c r="L9" s="266">
        <f t="shared" si="0"/>
        <v>30356.287296423128</v>
      </c>
      <c r="M9" s="266">
        <f t="shared" si="0"/>
        <v>35561.15769989635</v>
      </c>
      <c r="N9" s="266">
        <f t="shared" si="0"/>
        <v>38027.6094352613</v>
      </c>
      <c r="O9" s="266">
        <f t="shared" si="0"/>
        <v>37593.116432733201</v>
      </c>
      <c r="P9" s="266">
        <f t="shared" si="0"/>
        <v>37115.501049404098</v>
      </c>
      <c r="Q9" s="266">
        <f t="shared" si="0"/>
        <v>36590.4834931597</v>
      </c>
      <c r="R9" s="266">
        <f t="shared" si="0"/>
        <v>36013.359212857904</v>
      </c>
      <c r="S9" s="266">
        <f t="shared" si="0"/>
        <v>35378.956742021604</v>
      </c>
      <c r="T9" s="266">
        <f t="shared" si="0"/>
        <v>34681.591358619873</v>
      </c>
      <c r="U9" s="266">
        <f t="shared" si="0"/>
        <v>33915.014145693749</v>
      </c>
      <c r="V9" s="266">
        <f t="shared" si="0"/>
        <v>33072.355996373168</v>
      </c>
      <c r="W9" s="266">
        <f t="shared" si="0"/>
        <v>32146.06606152634</v>
      </c>
      <c r="X9" s="266">
        <f t="shared" si="0"/>
        <v>31127.844088487411</v>
      </c>
      <c r="Y9" s="266">
        <f t="shared" si="0"/>
        <v>30008.566044566171</v>
      </c>
      <c r="Z9" s="266">
        <f t="shared" si="0"/>
        <v>28778.202358870822</v>
      </c>
      <c r="AA9" s="266">
        <f t="shared" si="0"/>
        <v>27425.728049829209</v>
      </c>
      <c r="AB9" s="266">
        <f t="shared" si="0"/>
        <v>25939.023933083587</v>
      </c>
      <c r="AC9" s="266">
        <f t="shared" si="0"/>
        <v>24953.705599709159</v>
      </c>
    </row>
    <row r="10" spans="1:31">
      <c r="A10" s="58" t="s">
        <v>14</v>
      </c>
      <c r="B10" s="59" t="s">
        <v>474</v>
      </c>
      <c r="C10" s="267">
        <f t="shared" ref="C10:C12" si="1">F10+I10+L10+M10+N10+O10+P10+Q10+R10+S10+T10+U10+V10+W10+X10+Y10+Z10+AA10+AB10+AC10</f>
        <v>606840.39844542055</v>
      </c>
      <c r="D10" s="267">
        <f t="shared" ref="D10:AC10" si="2">D16+D19+D15</f>
        <v>118174.04864000001</v>
      </c>
      <c r="E10" s="267">
        <f t="shared" si="2"/>
        <v>-488666.34980542067</v>
      </c>
      <c r="F10" s="268">
        <f t="shared" si="2"/>
        <v>159614.241064</v>
      </c>
      <c r="G10" s="268">
        <f t="shared" si="2"/>
        <v>109266.26347999999</v>
      </c>
      <c r="H10" s="268">
        <f t="shared" si="2"/>
        <v>-50347.977583999993</v>
      </c>
      <c r="I10" s="268">
        <f t="shared" si="2"/>
        <v>9553.0820597481706</v>
      </c>
      <c r="J10" s="268">
        <f t="shared" si="2"/>
        <v>8907.7851600000031</v>
      </c>
      <c r="K10" s="268">
        <f t="shared" si="2"/>
        <v>-645.29689974816574</v>
      </c>
      <c r="L10" s="268">
        <f t="shared" si="2"/>
        <v>16516.112213215729</v>
      </c>
      <c r="M10" s="268">
        <f t="shared" si="2"/>
        <v>22080.559486072649</v>
      </c>
      <c r="N10" s="268">
        <f t="shared" si="2"/>
        <v>24942.275226399001</v>
      </c>
      <c r="O10" s="268">
        <f t="shared" si="2"/>
        <v>24942.275226399001</v>
      </c>
      <c r="P10" s="268">
        <f t="shared" si="2"/>
        <v>24942.275226399001</v>
      </c>
      <c r="Q10" s="268">
        <f t="shared" si="2"/>
        <v>24942.275226399001</v>
      </c>
      <c r="R10" s="268">
        <f t="shared" si="2"/>
        <v>24942.275226399001</v>
      </c>
      <c r="S10" s="268">
        <f t="shared" si="2"/>
        <v>24942.275226399001</v>
      </c>
      <c r="T10" s="268">
        <f t="shared" si="2"/>
        <v>24942.275226399001</v>
      </c>
      <c r="U10" s="268">
        <f t="shared" si="2"/>
        <v>24942.275226399001</v>
      </c>
      <c r="V10" s="268">
        <f t="shared" si="2"/>
        <v>24942.275226399001</v>
      </c>
      <c r="W10" s="268">
        <f t="shared" si="2"/>
        <v>24942.275226399001</v>
      </c>
      <c r="X10" s="268">
        <f t="shared" si="2"/>
        <v>24942.275226399001</v>
      </c>
      <c r="Y10" s="268">
        <f t="shared" si="2"/>
        <v>24942.275226399001</v>
      </c>
      <c r="Z10" s="268">
        <f t="shared" si="2"/>
        <v>24942.275226399001</v>
      </c>
      <c r="AA10" s="268">
        <f t="shared" si="2"/>
        <v>24942.275226399001</v>
      </c>
      <c r="AB10" s="268">
        <f t="shared" si="2"/>
        <v>24942.275226399001</v>
      </c>
      <c r="AC10" s="268">
        <f t="shared" si="2"/>
        <v>24942.275226399001</v>
      </c>
    </row>
    <row r="11" spans="1:31">
      <c r="A11" s="58" t="s">
        <v>22</v>
      </c>
      <c r="B11" s="59" t="s">
        <v>475</v>
      </c>
      <c r="C11" s="267">
        <f t="shared" si="1"/>
        <v>178427.54644728571</v>
      </c>
      <c r="D11" s="267">
        <f t="shared" ref="D11:AC11" si="3">D17</f>
        <v>9734.5055340480703</v>
      </c>
      <c r="E11" s="267">
        <f t="shared" si="3"/>
        <v>-168693.04091323764</v>
      </c>
      <c r="F11" s="268">
        <f t="shared" si="3"/>
        <v>13248.7658749442</v>
      </c>
      <c r="G11" s="268">
        <f t="shared" si="3"/>
        <v>376.11007000000001</v>
      </c>
      <c r="H11" s="268">
        <f t="shared" si="3"/>
        <v>-12872.655804944199</v>
      </c>
      <c r="I11" s="268">
        <f t="shared" si="3"/>
        <v>14167.2868954971</v>
      </c>
      <c r="J11" s="268">
        <f t="shared" si="3"/>
        <v>9358.3954640480697</v>
      </c>
      <c r="K11" s="268">
        <f t="shared" si="3"/>
        <v>-4808.8914314490303</v>
      </c>
      <c r="L11" s="268">
        <f t="shared" si="3"/>
        <v>13840.175083207399</v>
      </c>
      <c r="M11" s="268">
        <f t="shared" si="3"/>
        <v>13480.5982138237</v>
      </c>
      <c r="N11" s="268">
        <f t="shared" si="3"/>
        <v>13085.334208862299</v>
      </c>
      <c r="O11" s="268">
        <f t="shared" si="3"/>
        <v>12650.8412063342</v>
      </c>
      <c r="P11" s="268">
        <f t="shared" si="3"/>
        <v>12173.225823005099</v>
      </c>
      <c r="Q11" s="268">
        <f t="shared" si="3"/>
        <v>11648.208266760699</v>
      </c>
      <c r="R11" s="268">
        <f t="shared" si="3"/>
        <v>11071.0839864589</v>
      </c>
      <c r="S11" s="268">
        <f t="shared" si="3"/>
        <v>10436.6815156226</v>
      </c>
      <c r="T11" s="268">
        <f t="shared" si="3"/>
        <v>9739.3161322208707</v>
      </c>
      <c r="U11" s="268">
        <f t="shared" si="3"/>
        <v>8972.7389192947503</v>
      </c>
      <c r="V11" s="268">
        <f t="shared" si="3"/>
        <v>8130.0807699741699</v>
      </c>
      <c r="W11" s="268">
        <f t="shared" si="3"/>
        <v>7203.79083512734</v>
      </c>
      <c r="X11" s="268">
        <f t="shared" si="3"/>
        <v>6185.5688620884102</v>
      </c>
      <c r="Y11" s="268">
        <f t="shared" si="3"/>
        <v>5066.2908181671701</v>
      </c>
      <c r="Z11" s="268">
        <f t="shared" si="3"/>
        <v>3835.9271324718202</v>
      </c>
      <c r="AA11" s="268">
        <f t="shared" si="3"/>
        <v>2483.4528234302102</v>
      </c>
      <c r="AB11" s="268">
        <f t="shared" si="3"/>
        <v>996.74870668458698</v>
      </c>
      <c r="AC11" s="268">
        <f t="shared" si="3"/>
        <v>11.4303733101587</v>
      </c>
    </row>
    <row r="12" spans="1:31">
      <c r="A12" s="58" t="s">
        <v>315</v>
      </c>
      <c r="B12" s="59" t="s">
        <v>476</v>
      </c>
      <c r="C12" s="267">
        <f t="shared" si="1"/>
        <v>0</v>
      </c>
      <c r="D12" s="267">
        <f t="shared" ref="D12:D19" si="4">G12+J12</f>
        <v>0</v>
      </c>
      <c r="E12" s="267">
        <f t="shared" ref="E12:E19" si="5">D12-C12</f>
        <v>0</v>
      </c>
      <c r="F12" s="268">
        <v>0</v>
      </c>
      <c r="G12" s="268">
        <v>0</v>
      </c>
      <c r="H12" s="268">
        <f t="shared" ref="H12:H19" si="6">G12-F12</f>
        <v>0</v>
      </c>
      <c r="I12" s="268">
        <v>0</v>
      </c>
      <c r="J12" s="268">
        <v>0</v>
      </c>
      <c r="K12" s="268"/>
      <c r="L12" s="268">
        <v>0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31" ht="42.75">
      <c r="A13" s="46">
        <v>2</v>
      </c>
      <c r="B13" s="54" t="s">
        <v>477</v>
      </c>
      <c r="C13" s="265">
        <f t="shared" ref="C13:AC13" si="7">C14+C19</f>
        <v>938641.27489270631</v>
      </c>
      <c r="D13" s="265">
        <f t="shared" si="7"/>
        <v>132594.55478901026</v>
      </c>
      <c r="E13" s="265">
        <f t="shared" si="7"/>
        <v>-806046.72010369611</v>
      </c>
      <c r="F13" s="266">
        <f t="shared" si="7"/>
        <v>175622.17808557957</v>
      </c>
      <c r="G13" s="266">
        <f t="shared" si="7"/>
        <v>109642.37355</v>
      </c>
      <c r="H13" s="266">
        <f t="shared" si="7"/>
        <v>-65979.804535579577</v>
      </c>
      <c r="I13" s="266">
        <f t="shared" si="7"/>
        <v>27016.28608328956</v>
      </c>
      <c r="J13" s="266">
        <f t="shared" si="7"/>
        <v>22952.181239010246</v>
      </c>
      <c r="K13" s="266">
        <f t="shared" si="7"/>
        <v>-4064.1048442793171</v>
      </c>
      <c r="L13" s="266">
        <f t="shared" si="7"/>
        <v>33979.316236757026</v>
      </c>
      <c r="M13" s="266">
        <f t="shared" si="7"/>
        <v>39543.763509613971</v>
      </c>
      <c r="N13" s="266">
        <f t="shared" si="7"/>
        <v>42405.479249940392</v>
      </c>
      <c r="O13" s="266">
        <f t="shared" si="7"/>
        <v>42405.479249940363</v>
      </c>
      <c r="P13" s="266">
        <f t="shared" si="7"/>
        <v>42405.479249940348</v>
      </c>
      <c r="Q13" s="266">
        <f t="shared" si="7"/>
        <v>42405.47924994037</v>
      </c>
      <c r="R13" s="266">
        <f t="shared" si="7"/>
        <v>42405.47924994037</v>
      </c>
      <c r="S13" s="266">
        <f t="shared" si="7"/>
        <v>42405.479249940327</v>
      </c>
      <c r="T13" s="266">
        <f t="shared" si="7"/>
        <v>42405.479249940356</v>
      </c>
      <c r="U13" s="266">
        <f t="shared" si="7"/>
        <v>42405.479249940348</v>
      </c>
      <c r="V13" s="266">
        <f t="shared" si="7"/>
        <v>42405.479249940348</v>
      </c>
      <c r="W13" s="266">
        <f t="shared" si="7"/>
        <v>42405.479249940341</v>
      </c>
      <c r="X13" s="266">
        <f t="shared" si="7"/>
        <v>42405.479249940312</v>
      </c>
      <c r="Y13" s="266">
        <f t="shared" si="7"/>
        <v>42405.47924994037</v>
      </c>
      <c r="Z13" s="266">
        <f t="shared" si="7"/>
        <v>42405.479249940319</v>
      </c>
      <c r="AA13" s="266">
        <f t="shared" si="7"/>
        <v>42405.479249940312</v>
      </c>
      <c r="AB13" s="266">
        <f t="shared" si="7"/>
        <v>42405.479249940385</v>
      </c>
      <c r="AC13" s="266">
        <f t="shared" si="7"/>
        <v>26397.54222836078</v>
      </c>
    </row>
    <row r="14" spans="1:31">
      <c r="A14" s="58" t="s">
        <v>30</v>
      </c>
      <c r="B14" s="59" t="s">
        <v>478</v>
      </c>
      <c r="C14" s="267">
        <f t="shared" ref="C14:AC14" si="8">C15+C16+C17+C18</f>
        <v>785267.94489270635</v>
      </c>
      <c r="D14" s="267">
        <f t="shared" si="8"/>
        <v>24737.340589010244</v>
      </c>
      <c r="E14" s="267">
        <f t="shared" si="8"/>
        <v>-760530.60430369608</v>
      </c>
      <c r="F14" s="268">
        <f t="shared" si="8"/>
        <v>22248.848085579586</v>
      </c>
      <c r="G14" s="268">
        <f t="shared" si="8"/>
        <v>8834.8751900000007</v>
      </c>
      <c r="H14" s="268">
        <f t="shared" si="8"/>
        <v>-13413.972895579589</v>
      </c>
      <c r="I14" s="268">
        <f t="shared" si="8"/>
        <v>27016.28608328956</v>
      </c>
      <c r="J14" s="268">
        <f t="shared" si="8"/>
        <v>15902.465399010245</v>
      </c>
      <c r="K14" s="268">
        <f t="shared" si="8"/>
        <v>-11113.820684279317</v>
      </c>
      <c r="L14" s="268">
        <f t="shared" si="8"/>
        <v>33979.316236757026</v>
      </c>
      <c r="M14" s="268">
        <f t="shared" si="8"/>
        <v>39543.763509613971</v>
      </c>
      <c r="N14" s="268">
        <f t="shared" si="8"/>
        <v>42405.479249940392</v>
      </c>
      <c r="O14" s="268">
        <f t="shared" si="8"/>
        <v>42405.479249940363</v>
      </c>
      <c r="P14" s="268">
        <f t="shared" si="8"/>
        <v>42405.479249940348</v>
      </c>
      <c r="Q14" s="268">
        <f t="shared" si="8"/>
        <v>42405.47924994037</v>
      </c>
      <c r="R14" s="268">
        <f t="shared" si="8"/>
        <v>42405.47924994037</v>
      </c>
      <c r="S14" s="268">
        <f t="shared" si="8"/>
        <v>42405.479249940327</v>
      </c>
      <c r="T14" s="268">
        <f t="shared" si="8"/>
        <v>42405.479249940356</v>
      </c>
      <c r="U14" s="268">
        <f t="shared" si="8"/>
        <v>42405.479249940348</v>
      </c>
      <c r="V14" s="268">
        <f t="shared" si="8"/>
        <v>42405.479249940348</v>
      </c>
      <c r="W14" s="268">
        <f t="shared" si="8"/>
        <v>42405.479249940341</v>
      </c>
      <c r="X14" s="268">
        <f t="shared" si="8"/>
        <v>42405.479249940312</v>
      </c>
      <c r="Y14" s="268">
        <f t="shared" si="8"/>
        <v>42405.47924994037</v>
      </c>
      <c r="Z14" s="268">
        <f t="shared" si="8"/>
        <v>42405.479249940319</v>
      </c>
      <c r="AA14" s="268">
        <f t="shared" si="8"/>
        <v>42405.479249940312</v>
      </c>
      <c r="AB14" s="268">
        <f t="shared" si="8"/>
        <v>42405.479249940385</v>
      </c>
      <c r="AC14" s="268">
        <f t="shared" si="8"/>
        <v>26397.54222836078</v>
      </c>
    </row>
    <row r="15" spans="1:31">
      <c r="A15" s="58" t="s">
        <v>479</v>
      </c>
      <c r="B15" s="59" t="s">
        <v>421</v>
      </c>
      <c r="C15" s="267">
        <f t="shared" ref="C15:C19" si="9">F15+I15+L15+M15+N15+O15+P15+Q15+R15+S15+T15+U15+V15+W15+X15+Y15+Z15+AA15+AB15+AC15</f>
        <v>208163.60031953538</v>
      </c>
      <c r="D15" s="267">
        <f t="shared" si="4"/>
        <v>10001.384738027789</v>
      </c>
      <c r="E15" s="267">
        <f t="shared" si="5"/>
        <v>-198162.2155815076</v>
      </c>
      <c r="F15" s="268">
        <v>6240.9110639999999</v>
      </c>
      <c r="G15" s="268">
        <v>8458.76512</v>
      </c>
      <c r="H15" s="268">
        <f t="shared" si="6"/>
        <v>2217.8540560000001</v>
      </c>
      <c r="I15" s="268">
        <v>7062.7279276066902</v>
      </c>
      <c r="J15" s="268">
        <v>1542.61961802779</v>
      </c>
      <c r="K15" s="268">
        <f t="shared" ref="K15:K19" si="10">J15-I15</f>
        <v>-5520.1083095788999</v>
      </c>
      <c r="L15" s="268">
        <v>8048.9081639347096</v>
      </c>
      <c r="M15" s="268">
        <v>9429.5604947939501</v>
      </c>
      <c r="N15" s="268">
        <v>11086.343291825</v>
      </c>
      <c r="O15" s="268">
        <v>11086.343291825</v>
      </c>
      <c r="P15" s="268">
        <v>11086.343291825</v>
      </c>
      <c r="Q15" s="268">
        <v>11086.343291825</v>
      </c>
      <c r="R15" s="268">
        <v>11086.343291825</v>
      </c>
      <c r="S15" s="268">
        <v>11086.343291825</v>
      </c>
      <c r="T15" s="268">
        <v>11086.343291825</v>
      </c>
      <c r="U15" s="268">
        <v>11086.343291825</v>
      </c>
      <c r="V15" s="268">
        <v>11086.343291825</v>
      </c>
      <c r="W15" s="268">
        <v>11086.343291825</v>
      </c>
      <c r="X15" s="268">
        <v>11086.343291825</v>
      </c>
      <c r="Y15" s="268">
        <v>11086.343291825</v>
      </c>
      <c r="Z15" s="268">
        <v>11086.343291825</v>
      </c>
      <c r="AA15" s="268">
        <v>11086.343291825</v>
      </c>
      <c r="AB15" s="268">
        <v>11086.343291825</v>
      </c>
      <c r="AC15" s="268">
        <v>11086.343291825</v>
      </c>
    </row>
    <row r="16" spans="1:31">
      <c r="A16" s="58" t="s">
        <v>480</v>
      </c>
      <c r="B16" s="59" t="s">
        <v>481</v>
      </c>
      <c r="C16" s="267">
        <f t="shared" si="9"/>
        <v>245303.46812588529</v>
      </c>
      <c r="D16" s="267">
        <f t="shared" si="4"/>
        <v>315.44970197221397</v>
      </c>
      <c r="E16" s="267">
        <f t="shared" si="5"/>
        <v>-244988.01842391308</v>
      </c>
      <c r="F16" s="268">
        <v>0</v>
      </c>
      <c r="G16" s="268">
        <v>0</v>
      </c>
      <c r="H16" s="268">
        <f t="shared" si="6"/>
        <v>0</v>
      </c>
      <c r="I16" s="268">
        <v>2490.35413214148</v>
      </c>
      <c r="J16" s="268">
        <v>315.44970197221397</v>
      </c>
      <c r="K16" s="268">
        <f t="shared" si="10"/>
        <v>-2174.9044301692661</v>
      </c>
      <c r="L16" s="268">
        <v>8467.2040492810193</v>
      </c>
      <c r="M16" s="268">
        <v>12650.9989912787</v>
      </c>
      <c r="N16" s="268">
        <v>13855.931934574</v>
      </c>
      <c r="O16" s="268">
        <v>13855.931934574</v>
      </c>
      <c r="P16" s="268">
        <v>13855.931934574</v>
      </c>
      <c r="Q16" s="268">
        <v>13855.931934574</v>
      </c>
      <c r="R16" s="268">
        <v>13855.931934574</v>
      </c>
      <c r="S16" s="268">
        <v>13855.931934574</v>
      </c>
      <c r="T16" s="268">
        <v>13855.931934574</v>
      </c>
      <c r="U16" s="268">
        <v>13855.931934574</v>
      </c>
      <c r="V16" s="268">
        <v>13855.931934574</v>
      </c>
      <c r="W16" s="268">
        <v>13855.931934574</v>
      </c>
      <c r="X16" s="268">
        <v>13855.931934574</v>
      </c>
      <c r="Y16" s="268">
        <v>13855.931934574</v>
      </c>
      <c r="Z16" s="268">
        <v>13855.931934574</v>
      </c>
      <c r="AA16" s="268">
        <v>13855.931934574</v>
      </c>
      <c r="AB16" s="268">
        <v>13855.931934574</v>
      </c>
      <c r="AC16" s="268">
        <v>13855.931934574</v>
      </c>
    </row>
    <row r="17" spans="1:33">
      <c r="A17" s="58" t="s">
        <v>482</v>
      </c>
      <c r="B17" s="59" t="s">
        <v>475</v>
      </c>
      <c r="C17" s="267">
        <f t="shared" si="9"/>
        <v>178427.54644728571</v>
      </c>
      <c r="D17" s="267">
        <f t="shared" si="4"/>
        <v>9734.5055340480703</v>
      </c>
      <c r="E17" s="267">
        <f t="shared" si="5"/>
        <v>-168693.04091323764</v>
      </c>
      <c r="F17" s="268">
        <v>13248.7658749442</v>
      </c>
      <c r="G17" s="268">
        <v>376.11007000000001</v>
      </c>
      <c r="H17" s="268">
        <f t="shared" si="6"/>
        <v>-12872.655804944199</v>
      </c>
      <c r="I17" s="268">
        <v>14167.2868954971</v>
      </c>
      <c r="J17" s="268">
        <v>9358.3954640480697</v>
      </c>
      <c r="K17" s="268">
        <f t="shared" si="10"/>
        <v>-4808.8914314490303</v>
      </c>
      <c r="L17" s="268">
        <v>13840.175083207399</v>
      </c>
      <c r="M17" s="268">
        <v>13480.5982138237</v>
      </c>
      <c r="N17" s="268">
        <v>13085.334208862299</v>
      </c>
      <c r="O17" s="268">
        <v>12650.8412063342</v>
      </c>
      <c r="P17" s="268">
        <v>12173.225823005099</v>
      </c>
      <c r="Q17" s="268">
        <v>11648.208266760699</v>
      </c>
      <c r="R17" s="268">
        <v>11071.0839864589</v>
      </c>
      <c r="S17" s="268">
        <v>10436.6815156226</v>
      </c>
      <c r="T17" s="268">
        <v>9739.3161322208707</v>
      </c>
      <c r="U17" s="268">
        <v>8972.7389192947503</v>
      </c>
      <c r="V17" s="268">
        <v>8130.0807699741699</v>
      </c>
      <c r="W17" s="268">
        <v>7203.79083512734</v>
      </c>
      <c r="X17" s="268">
        <v>6185.5688620884102</v>
      </c>
      <c r="Y17" s="268">
        <v>5066.2908181671701</v>
      </c>
      <c r="Z17" s="268">
        <v>3835.9271324718202</v>
      </c>
      <c r="AA17" s="268">
        <v>2483.4528234302102</v>
      </c>
      <c r="AB17" s="268">
        <v>996.74870668458698</v>
      </c>
      <c r="AC17" s="268">
        <v>11.4303733101587</v>
      </c>
      <c r="AG17" s="274"/>
    </row>
    <row r="18" spans="1:33" ht="30">
      <c r="A18" s="58" t="s">
        <v>483</v>
      </c>
      <c r="B18" s="59" t="s">
        <v>484</v>
      </c>
      <c r="C18" s="267">
        <f t="shared" si="9"/>
        <v>153373.32999999996</v>
      </c>
      <c r="D18" s="267">
        <f t="shared" si="4"/>
        <v>4686.0006149621704</v>
      </c>
      <c r="E18" s="267">
        <f t="shared" si="5"/>
        <v>-148687.3293850378</v>
      </c>
      <c r="F18" s="268">
        <v>2759.17114663539</v>
      </c>
      <c r="G18" s="268">
        <v>0</v>
      </c>
      <c r="H18" s="268">
        <f t="shared" si="6"/>
        <v>-2759.17114663539</v>
      </c>
      <c r="I18" s="268">
        <v>3295.9171280442902</v>
      </c>
      <c r="J18" s="268">
        <v>4686.0006149621704</v>
      </c>
      <c r="K18" s="268">
        <f t="shared" si="10"/>
        <v>1390.0834869178802</v>
      </c>
      <c r="L18" s="268">
        <v>3623.0289403339002</v>
      </c>
      <c r="M18" s="268">
        <v>3982.6058097176201</v>
      </c>
      <c r="N18" s="268">
        <v>4377.8698146790903</v>
      </c>
      <c r="O18" s="268">
        <v>4812.3628172071603</v>
      </c>
      <c r="P18" s="268">
        <v>5289.9782005362504</v>
      </c>
      <c r="Q18" s="268">
        <v>5814.9957567806696</v>
      </c>
      <c r="R18" s="268">
        <v>6392.1200370824699</v>
      </c>
      <c r="S18" s="268">
        <v>7026.5225079187203</v>
      </c>
      <c r="T18" s="268">
        <v>7723.8878913204799</v>
      </c>
      <c r="U18" s="268">
        <v>8490.4651042465994</v>
      </c>
      <c r="V18" s="268">
        <v>9333.1232535671807</v>
      </c>
      <c r="W18" s="268">
        <v>10259.413188414001</v>
      </c>
      <c r="X18" s="268">
        <v>11277.635161452899</v>
      </c>
      <c r="Y18" s="268">
        <v>12396.9132053742</v>
      </c>
      <c r="Z18" s="268">
        <v>13627.276891069499</v>
      </c>
      <c r="AA18" s="268">
        <v>14979.751200111101</v>
      </c>
      <c r="AB18" s="268">
        <v>16466.455316856802</v>
      </c>
      <c r="AC18" s="268">
        <v>1443.83662865162</v>
      </c>
      <c r="AG18" s="274"/>
    </row>
    <row r="19" spans="1:33">
      <c r="A19" s="58" t="s">
        <v>121</v>
      </c>
      <c r="B19" s="59" t="s">
        <v>485</v>
      </c>
      <c r="C19" s="267">
        <f t="shared" si="9"/>
        <v>153373.32999999999</v>
      </c>
      <c r="D19" s="267">
        <f t="shared" si="4"/>
        <v>107857.2142</v>
      </c>
      <c r="E19" s="267">
        <f t="shared" si="5"/>
        <v>-45516.115799999985</v>
      </c>
      <c r="F19" s="268">
        <v>153373.32999999999</v>
      </c>
      <c r="G19" s="268">
        <v>100807.49836</v>
      </c>
      <c r="H19" s="268">
        <f t="shared" si="6"/>
        <v>-52565.831639999989</v>
      </c>
      <c r="I19" s="268">
        <v>0</v>
      </c>
      <c r="J19" s="268">
        <v>7049.7158399999998</v>
      </c>
      <c r="K19" s="268">
        <f t="shared" si="10"/>
        <v>7049.7158399999998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0</v>
      </c>
      <c r="T19" s="268">
        <v>0</v>
      </c>
      <c r="U19" s="268">
        <v>0</v>
      </c>
      <c r="V19" s="268">
        <v>0</v>
      </c>
      <c r="W19" s="268">
        <v>0</v>
      </c>
      <c r="X19" s="268">
        <v>0</v>
      </c>
      <c r="Y19" s="268">
        <v>0</v>
      </c>
      <c r="Z19" s="268">
        <v>0</v>
      </c>
      <c r="AA19" s="268">
        <v>0</v>
      </c>
      <c r="AB19" s="268">
        <v>0</v>
      </c>
      <c r="AC19" s="268">
        <v>0</v>
      </c>
    </row>
    <row r="20" spans="1:33">
      <c r="A20" s="46"/>
      <c r="B20" s="54" t="s">
        <v>317</v>
      </c>
      <c r="C20" s="269"/>
      <c r="D20" s="269"/>
      <c r="E20" s="269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</row>
    <row r="21" spans="1:33" ht="28.5">
      <c r="A21" s="46" t="s">
        <v>125</v>
      </c>
      <c r="B21" s="54" t="s">
        <v>473</v>
      </c>
      <c r="C21" s="265">
        <f t="shared" ref="C21:AC21" si="11">C22+C23+C24</f>
        <v>399931.44271534088</v>
      </c>
      <c r="D21" s="265">
        <f t="shared" si="11"/>
        <v>62964.516485951935</v>
      </c>
      <c r="E21" s="265">
        <f t="shared" si="11"/>
        <v>-336966.92622938898</v>
      </c>
      <c r="F21" s="266">
        <f t="shared" si="11"/>
        <v>40123.209664323993</v>
      </c>
      <c r="G21" s="266">
        <f t="shared" si="11"/>
        <v>36999.153859999999</v>
      </c>
      <c r="H21" s="266">
        <f t="shared" si="11"/>
        <v>-3124.055804323988</v>
      </c>
      <c r="I21" s="266">
        <f t="shared" si="11"/>
        <v>10331.167016166009</v>
      </c>
      <c r="J21" s="266">
        <f t="shared" si="11"/>
        <v>25965.362625951933</v>
      </c>
      <c r="K21" s="266">
        <f t="shared" si="11"/>
        <v>15634.195609785922</v>
      </c>
      <c r="L21" s="266">
        <f t="shared" si="11"/>
        <v>15121.03806306395</v>
      </c>
      <c r="M21" s="266">
        <f t="shared" si="11"/>
        <v>18928.151602238147</v>
      </c>
      <c r="N21" s="266">
        <f t="shared" si="11"/>
        <v>20841.803513031839</v>
      </c>
      <c r="O21" s="266">
        <f t="shared" si="11"/>
        <v>20750.309919458829</v>
      </c>
      <c r="P21" s="266">
        <f t="shared" si="11"/>
        <v>20649.73580776482</v>
      </c>
      <c r="Q21" s="266">
        <f t="shared" si="11"/>
        <v>20539.179958464079</v>
      </c>
      <c r="R21" s="266">
        <f t="shared" si="11"/>
        <v>20417.651708214209</v>
      </c>
      <c r="S21" s="266">
        <f t="shared" si="11"/>
        <v>20284.062072729459</v>
      </c>
      <c r="T21" s="266">
        <f t="shared" si="11"/>
        <v>20137.213988664582</v>
      </c>
      <c r="U21" s="266">
        <f t="shared" si="11"/>
        <v>19975.79158702934</v>
      </c>
      <c r="V21" s="266">
        <f t="shared" si="11"/>
        <v>19798.34840201525</v>
      </c>
      <c r="W21" s="266">
        <f t="shared" si="11"/>
        <v>19603.294409576862</v>
      </c>
      <c r="X21" s="266">
        <f t="shared" si="11"/>
        <v>19388.881779623622</v>
      </c>
      <c r="Y21" s="266">
        <f t="shared" si="11"/>
        <v>19153.189214151062</v>
      </c>
      <c r="Z21" s="266">
        <f t="shared" si="11"/>
        <v>18894.104730969488</v>
      </c>
      <c r="AA21" s="266">
        <f t="shared" si="11"/>
        <v>18609.306738759271</v>
      </c>
      <c r="AB21" s="266">
        <f t="shared" si="11"/>
        <v>18296.243233871068</v>
      </c>
      <c r="AC21" s="266">
        <f t="shared" si="11"/>
        <v>18088.759305224907</v>
      </c>
    </row>
    <row r="22" spans="1:33">
      <c r="A22" s="58" t="s">
        <v>41</v>
      </c>
      <c r="B22" s="59" t="s">
        <v>474</v>
      </c>
      <c r="C22" s="267">
        <f t="shared" ref="C22:AC22" si="12">C28+C31+C27</f>
        <v>362358.96784948476</v>
      </c>
      <c r="D22" s="267">
        <f t="shared" si="12"/>
        <v>56348.917930000003</v>
      </c>
      <c r="E22" s="267">
        <f t="shared" si="12"/>
        <v>-306010.04991948477</v>
      </c>
      <c r="F22" s="268">
        <f t="shared" si="12"/>
        <v>37333.3437901832</v>
      </c>
      <c r="G22" s="268">
        <f t="shared" si="12"/>
        <v>36872.120629999998</v>
      </c>
      <c r="H22" s="268">
        <f t="shared" si="12"/>
        <v>-461.22316018319816</v>
      </c>
      <c r="I22" s="268">
        <f t="shared" si="12"/>
        <v>7347.88309281902</v>
      </c>
      <c r="J22" s="268">
        <f t="shared" si="12"/>
        <v>19476.797300000002</v>
      </c>
      <c r="K22" s="268">
        <f t="shared" si="12"/>
        <v>12128.914207180982</v>
      </c>
      <c r="L22" s="268">
        <f t="shared" si="12"/>
        <v>12206.635882420331</v>
      </c>
      <c r="M22" s="268">
        <f t="shared" si="12"/>
        <v>16089.467510848499</v>
      </c>
      <c r="N22" s="268">
        <f t="shared" si="12"/>
        <v>18086.35234832585</v>
      </c>
      <c r="O22" s="268">
        <f t="shared" si="12"/>
        <v>18086.35234832585</v>
      </c>
      <c r="P22" s="268">
        <f t="shared" si="12"/>
        <v>18086.35234832585</v>
      </c>
      <c r="Q22" s="268">
        <f t="shared" si="12"/>
        <v>18086.35234832585</v>
      </c>
      <c r="R22" s="268">
        <f t="shared" si="12"/>
        <v>18086.35234832585</v>
      </c>
      <c r="S22" s="268">
        <f t="shared" si="12"/>
        <v>18086.35234832585</v>
      </c>
      <c r="T22" s="268">
        <f t="shared" si="12"/>
        <v>18086.35234832585</v>
      </c>
      <c r="U22" s="268">
        <f t="shared" si="12"/>
        <v>18086.35234832585</v>
      </c>
      <c r="V22" s="268">
        <f t="shared" si="12"/>
        <v>18086.35234832585</v>
      </c>
      <c r="W22" s="268">
        <f t="shared" si="12"/>
        <v>18086.35234832585</v>
      </c>
      <c r="X22" s="268">
        <f t="shared" si="12"/>
        <v>18086.35234832585</v>
      </c>
      <c r="Y22" s="268">
        <f t="shared" si="12"/>
        <v>18086.35234832585</v>
      </c>
      <c r="Z22" s="268">
        <f t="shared" si="12"/>
        <v>18086.35234832585</v>
      </c>
      <c r="AA22" s="268">
        <f t="shared" si="12"/>
        <v>18086.35234832585</v>
      </c>
      <c r="AB22" s="268">
        <f t="shared" si="12"/>
        <v>18086.35234832585</v>
      </c>
      <c r="AC22" s="268">
        <f t="shared" si="12"/>
        <v>18086.35234832585</v>
      </c>
    </row>
    <row r="23" spans="1:33">
      <c r="A23" s="58" t="s">
        <v>48</v>
      </c>
      <c r="B23" s="59" t="s">
        <v>475</v>
      </c>
      <c r="C23" s="267">
        <f t="shared" ref="C23:AC23" si="13">C29</f>
        <v>37572.474865856129</v>
      </c>
      <c r="D23" s="267">
        <f t="shared" si="13"/>
        <v>6615.5985559519304</v>
      </c>
      <c r="E23" s="267">
        <f t="shared" si="13"/>
        <v>-30956.876309904197</v>
      </c>
      <c r="F23" s="268">
        <f t="shared" si="13"/>
        <v>2789.8658741407899</v>
      </c>
      <c r="G23" s="268">
        <f t="shared" si="13"/>
        <v>127.03323</v>
      </c>
      <c r="H23" s="268">
        <f t="shared" si="13"/>
        <v>-2662.8326441407899</v>
      </c>
      <c r="I23" s="268">
        <f t="shared" si="13"/>
        <v>2983.2839233469899</v>
      </c>
      <c r="J23" s="268">
        <f t="shared" si="13"/>
        <v>6488.5653259519304</v>
      </c>
      <c r="K23" s="268">
        <f t="shared" si="13"/>
        <v>3505.2814026049405</v>
      </c>
      <c r="L23" s="268">
        <f t="shared" si="13"/>
        <v>2914.4021806436199</v>
      </c>
      <c r="M23" s="268">
        <f t="shared" si="13"/>
        <v>2838.6840913896499</v>
      </c>
      <c r="N23" s="268">
        <f t="shared" si="13"/>
        <v>2755.4511647059899</v>
      </c>
      <c r="O23" s="268">
        <f t="shared" si="13"/>
        <v>2663.9575711329799</v>
      </c>
      <c r="P23" s="268">
        <f t="shared" si="13"/>
        <v>2563.38345943897</v>
      </c>
      <c r="Q23" s="268">
        <f t="shared" si="13"/>
        <v>2452.8276101382298</v>
      </c>
      <c r="R23" s="268">
        <f t="shared" si="13"/>
        <v>2331.29935988836</v>
      </c>
      <c r="S23" s="268">
        <f t="shared" si="13"/>
        <v>2197.7097244036099</v>
      </c>
      <c r="T23" s="268">
        <f t="shared" si="13"/>
        <v>2050.86164033873</v>
      </c>
      <c r="U23" s="268">
        <f t="shared" si="13"/>
        <v>1889.43923870349</v>
      </c>
      <c r="V23" s="268">
        <f t="shared" si="13"/>
        <v>1711.9960536894</v>
      </c>
      <c r="W23" s="268">
        <f t="shared" si="13"/>
        <v>1516.94206125101</v>
      </c>
      <c r="X23" s="268">
        <f t="shared" si="13"/>
        <v>1302.5294312977701</v>
      </c>
      <c r="Y23" s="268">
        <f t="shared" si="13"/>
        <v>1066.83686582521</v>
      </c>
      <c r="Z23" s="268">
        <f t="shared" si="13"/>
        <v>807.752382643636</v>
      </c>
      <c r="AA23" s="268">
        <f t="shared" si="13"/>
        <v>522.95439043342003</v>
      </c>
      <c r="AB23" s="268">
        <f t="shared" si="13"/>
        <v>209.890885545218</v>
      </c>
      <c r="AC23" s="268">
        <f t="shared" si="13"/>
        <v>2.4069568990580201</v>
      </c>
    </row>
    <row r="24" spans="1:33">
      <c r="A24" s="58" t="s">
        <v>54</v>
      </c>
      <c r="B24" s="59" t="s">
        <v>476</v>
      </c>
      <c r="C24" s="267">
        <f t="shared" ref="C24:C31" si="14">F24+I24+L24+M24+N24+O24+P24+Q24+R24+S24+T24+U24+V24+W24+X24+Y24+Z24+AA24+AB24+AC24</f>
        <v>0</v>
      </c>
      <c r="D24" s="267">
        <f t="shared" ref="D24:D31" si="15">G24+J24</f>
        <v>0</v>
      </c>
      <c r="E24" s="267">
        <f t="shared" ref="E24:E31" si="16">D24-C24</f>
        <v>0</v>
      </c>
      <c r="F24" s="268">
        <v>0</v>
      </c>
      <c r="G24" s="268">
        <v>0</v>
      </c>
      <c r="H24" s="268">
        <f t="shared" ref="H24:H31" si="17">G24-F24</f>
        <v>0</v>
      </c>
      <c r="I24" s="268">
        <v>0</v>
      </c>
      <c r="J24" s="268"/>
      <c r="K24" s="268"/>
      <c r="L24" s="268">
        <v>0</v>
      </c>
      <c r="M24" s="268">
        <v>0</v>
      </c>
      <c r="N24" s="268">
        <v>0</v>
      </c>
      <c r="O24" s="268">
        <v>0</v>
      </c>
      <c r="P24" s="268">
        <v>0</v>
      </c>
      <c r="Q24" s="268">
        <v>0</v>
      </c>
      <c r="R24" s="268">
        <v>0</v>
      </c>
      <c r="S24" s="268">
        <v>0</v>
      </c>
      <c r="T24" s="268">
        <v>0</v>
      </c>
      <c r="U24" s="268">
        <v>0</v>
      </c>
      <c r="V24" s="268">
        <v>0</v>
      </c>
      <c r="W24" s="268">
        <v>0</v>
      </c>
      <c r="X24" s="268">
        <v>0</v>
      </c>
      <c r="Y24" s="268">
        <v>0</v>
      </c>
      <c r="Z24" s="268">
        <v>0</v>
      </c>
      <c r="AA24" s="268">
        <v>0</v>
      </c>
      <c r="AB24" s="268">
        <v>0</v>
      </c>
      <c r="AC24" s="268">
        <v>0</v>
      </c>
    </row>
    <row r="25" spans="1:33" ht="42.75">
      <c r="A25" s="46" t="s">
        <v>136</v>
      </c>
      <c r="B25" s="54" t="s">
        <v>477</v>
      </c>
      <c r="C25" s="265">
        <f t="shared" ref="C25:AC25" si="18">C26+C31</f>
        <v>432228.1127153408</v>
      </c>
      <c r="D25" s="265">
        <f t="shared" si="18"/>
        <v>66213.515870989766</v>
      </c>
      <c r="E25" s="265">
        <f t="shared" si="18"/>
        <v>-366014.59684435115</v>
      </c>
      <c r="F25" s="266">
        <f t="shared" si="18"/>
        <v>40704.223586342923</v>
      </c>
      <c r="G25" s="266">
        <f t="shared" si="18"/>
        <v>36999.153859999999</v>
      </c>
      <c r="H25" s="266">
        <f t="shared" si="18"/>
        <v>-3705.0697263429265</v>
      </c>
      <c r="I25" s="266">
        <f t="shared" si="18"/>
        <v>11025.206506811444</v>
      </c>
      <c r="J25" s="266">
        <f t="shared" si="18"/>
        <v>29214.36201098976</v>
      </c>
      <c r="K25" s="266">
        <f t="shared" si="18"/>
        <v>18189.155504178314</v>
      </c>
      <c r="L25" s="266">
        <f t="shared" si="18"/>
        <v>15883.959296412759</v>
      </c>
      <c r="M25" s="266">
        <f t="shared" si="18"/>
        <v>19766.790924840927</v>
      </c>
      <c r="N25" s="266">
        <f t="shared" si="18"/>
        <v>21763.675762318278</v>
      </c>
      <c r="O25" s="266">
        <f t="shared" si="18"/>
        <v>21763.675762318278</v>
      </c>
      <c r="P25" s="266">
        <f t="shared" si="18"/>
        <v>21763.675762318282</v>
      </c>
      <c r="Q25" s="266">
        <f t="shared" si="18"/>
        <v>21763.675762318278</v>
      </c>
      <c r="R25" s="266">
        <f t="shared" si="18"/>
        <v>21763.675762318268</v>
      </c>
      <c r="S25" s="266">
        <f t="shared" si="18"/>
        <v>21763.675762318278</v>
      </c>
      <c r="T25" s="266">
        <f t="shared" si="18"/>
        <v>21763.675762318271</v>
      </c>
      <c r="U25" s="266">
        <f t="shared" si="18"/>
        <v>21763.675762318278</v>
      </c>
      <c r="V25" s="266">
        <f t="shared" si="18"/>
        <v>21763.675762318278</v>
      </c>
      <c r="W25" s="266">
        <f t="shared" si="18"/>
        <v>21763.675762318271</v>
      </c>
      <c r="X25" s="266">
        <f t="shared" si="18"/>
        <v>21763.675762318282</v>
      </c>
      <c r="Y25" s="266">
        <f t="shared" si="18"/>
        <v>21763.675762318282</v>
      </c>
      <c r="Z25" s="266">
        <f t="shared" si="18"/>
        <v>21763.675762318278</v>
      </c>
      <c r="AA25" s="266">
        <f t="shared" si="18"/>
        <v>21763.675762318282</v>
      </c>
      <c r="AB25" s="266">
        <f t="shared" si="18"/>
        <v>21763.675762318278</v>
      </c>
      <c r="AC25" s="266">
        <f t="shared" si="18"/>
        <v>18392.795966158548</v>
      </c>
    </row>
    <row r="26" spans="1:33">
      <c r="A26" s="58" t="s">
        <v>66</v>
      </c>
      <c r="B26" s="59" t="s">
        <v>478</v>
      </c>
      <c r="C26" s="267">
        <f t="shared" ref="C26:AC26" si="19">C27+C28+C29+C30</f>
        <v>399931.44271534082</v>
      </c>
      <c r="D26" s="267">
        <f t="shared" si="19"/>
        <v>13627.470680989762</v>
      </c>
      <c r="E26" s="267">
        <f t="shared" si="19"/>
        <v>-386303.97203435114</v>
      </c>
      <c r="F26" s="268">
        <f t="shared" si="19"/>
        <v>8407.5535863429286</v>
      </c>
      <c r="G26" s="268">
        <f t="shared" si="19"/>
        <v>2918.5151900000001</v>
      </c>
      <c r="H26" s="268">
        <f t="shared" si="19"/>
        <v>-5489.0383963429285</v>
      </c>
      <c r="I26" s="268">
        <f t="shared" si="19"/>
        <v>11025.206506811444</v>
      </c>
      <c r="J26" s="268">
        <f t="shared" si="19"/>
        <v>10708.95549098976</v>
      </c>
      <c r="K26" s="268">
        <f t="shared" si="19"/>
        <v>-316.25101582168463</v>
      </c>
      <c r="L26" s="268">
        <f t="shared" si="19"/>
        <v>15883.959296412759</v>
      </c>
      <c r="M26" s="268">
        <f t="shared" si="19"/>
        <v>19766.790924840927</v>
      </c>
      <c r="N26" s="268">
        <f t="shared" si="19"/>
        <v>21763.675762318278</v>
      </c>
      <c r="O26" s="268">
        <f t="shared" si="19"/>
        <v>21763.675762318278</v>
      </c>
      <c r="P26" s="268">
        <f t="shared" si="19"/>
        <v>21763.675762318282</v>
      </c>
      <c r="Q26" s="268">
        <f t="shared" si="19"/>
        <v>21763.675762318278</v>
      </c>
      <c r="R26" s="268">
        <f t="shared" si="19"/>
        <v>21763.675762318268</v>
      </c>
      <c r="S26" s="268">
        <f t="shared" si="19"/>
        <v>21763.675762318278</v>
      </c>
      <c r="T26" s="268">
        <f t="shared" si="19"/>
        <v>21763.675762318271</v>
      </c>
      <c r="U26" s="268">
        <f t="shared" si="19"/>
        <v>21763.675762318278</v>
      </c>
      <c r="V26" s="268">
        <f t="shared" si="19"/>
        <v>21763.675762318278</v>
      </c>
      <c r="W26" s="268">
        <f t="shared" si="19"/>
        <v>21763.675762318271</v>
      </c>
      <c r="X26" s="268">
        <f t="shared" si="19"/>
        <v>21763.675762318282</v>
      </c>
      <c r="Y26" s="268">
        <f t="shared" si="19"/>
        <v>21763.675762318282</v>
      </c>
      <c r="Z26" s="268">
        <f t="shared" si="19"/>
        <v>21763.675762318278</v>
      </c>
      <c r="AA26" s="268">
        <f t="shared" si="19"/>
        <v>21763.675762318282</v>
      </c>
      <c r="AB26" s="268">
        <f t="shared" si="19"/>
        <v>21763.675762318278</v>
      </c>
      <c r="AC26" s="268">
        <f t="shared" si="19"/>
        <v>18392.795966158548</v>
      </c>
    </row>
    <row r="27" spans="1:33">
      <c r="A27" s="58" t="s">
        <v>69</v>
      </c>
      <c r="B27" s="59" t="s">
        <v>421</v>
      </c>
      <c r="C27" s="267">
        <f t="shared" si="14"/>
        <v>158891.28698405327</v>
      </c>
      <c r="D27" s="267">
        <f t="shared" si="15"/>
        <v>3520.0250450000003</v>
      </c>
      <c r="E27" s="267">
        <f t="shared" si="16"/>
        <v>-155371.26193905328</v>
      </c>
      <c r="F27" s="268">
        <v>5036.6737901832003</v>
      </c>
      <c r="G27" s="268">
        <v>2791.4819600000001</v>
      </c>
      <c r="H27" s="268">
        <f t="shared" si="17"/>
        <v>-2245.1918301832002</v>
      </c>
      <c r="I27" s="268">
        <v>5610.1317374537402</v>
      </c>
      <c r="J27" s="268">
        <v>728.54308500000002</v>
      </c>
      <c r="K27" s="268">
        <f t="shared" ref="K27:K31" si="20">J27-I27</f>
        <v>-4881.58865245374</v>
      </c>
      <c r="L27" s="268">
        <v>6298.28127417839</v>
      </c>
      <c r="M27" s="268">
        <v>7261.6906255928998</v>
      </c>
      <c r="N27" s="268">
        <v>8417.7818472903109</v>
      </c>
      <c r="O27" s="268">
        <v>8417.7818472903109</v>
      </c>
      <c r="P27" s="268">
        <v>8417.7818472903109</v>
      </c>
      <c r="Q27" s="268">
        <v>8417.7818472903109</v>
      </c>
      <c r="R27" s="268">
        <v>8417.7818472903109</v>
      </c>
      <c r="S27" s="268">
        <v>8417.7818472903109</v>
      </c>
      <c r="T27" s="268">
        <v>8417.7818472903109</v>
      </c>
      <c r="U27" s="268">
        <v>8417.7818472903109</v>
      </c>
      <c r="V27" s="268">
        <v>8417.7818472903109</v>
      </c>
      <c r="W27" s="268">
        <v>8417.7818472903109</v>
      </c>
      <c r="X27" s="268">
        <v>8417.7818472903109</v>
      </c>
      <c r="Y27" s="268">
        <v>8417.7818472903109</v>
      </c>
      <c r="Z27" s="268">
        <v>8417.7818472903109</v>
      </c>
      <c r="AA27" s="268">
        <v>8417.7818472903109</v>
      </c>
      <c r="AB27" s="268">
        <v>8417.7818472903109</v>
      </c>
      <c r="AC27" s="268">
        <v>8417.7818472903109</v>
      </c>
    </row>
    <row r="28" spans="1:33">
      <c r="A28" s="58" t="s">
        <v>70</v>
      </c>
      <c r="B28" s="59" t="s">
        <v>481</v>
      </c>
      <c r="C28" s="267">
        <f t="shared" si="14"/>
        <v>171171.01086543148</v>
      </c>
      <c r="D28" s="267">
        <f t="shared" si="15"/>
        <v>242.84769499999999</v>
      </c>
      <c r="E28" s="267">
        <f t="shared" si="16"/>
        <v>-170928.16317043148</v>
      </c>
      <c r="F28" s="268">
        <v>0</v>
      </c>
      <c r="G28" s="268">
        <v>0</v>
      </c>
      <c r="H28" s="268">
        <f t="shared" si="17"/>
        <v>0</v>
      </c>
      <c r="I28" s="268">
        <v>1737.75135536528</v>
      </c>
      <c r="J28" s="268">
        <v>242.84769499999999</v>
      </c>
      <c r="K28" s="268">
        <f t="shared" si="20"/>
        <v>-1494.9036603652801</v>
      </c>
      <c r="L28" s="268">
        <v>5908.3546082419398</v>
      </c>
      <c r="M28" s="268">
        <v>8827.7768852556001</v>
      </c>
      <c r="N28" s="268">
        <v>9668.5705010355396</v>
      </c>
      <c r="O28" s="268">
        <v>9668.5705010355396</v>
      </c>
      <c r="P28" s="268">
        <v>9668.5705010355396</v>
      </c>
      <c r="Q28" s="268">
        <v>9668.5705010355396</v>
      </c>
      <c r="R28" s="268">
        <v>9668.5705010355396</v>
      </c>
      <c r="S28" s="268">
        <v>9668.5705010355396</v>
      </c>
      <c r="T28" s="268">
        <v>9668.5705010355396</v>
      </c>
      <c r="U28" s="268">
        <v>9668.5705010355396</v>
      </c>
      <c r="V28" s="268">
        <v>9668.5705010355396</v>
      </c>
      <c r="W28" s="268">
        <v>9668.5705010355396</v>
      </c>
      <c r="X28" s="268">
        <v>9668.5705010355396</v>
      </c>
      <c r="Y28" s="268">
        <v>9668.5705010355396</v>
      </c>
      <c r="Z28" s="268">
        <v>9668.5705010355396</v>
      </c>
      <c r="AA28" s="268">
        <v>9668.5705010355396</v>
      </c>
      <c r="AB28" s="268">
        <v>9668.5705010355396</v>
      </c>
      <c r="AC28" s="268">
        <v>9668.5705010355396</v>
      </c>
    </row>
    <row r="29" spans="1:33">
      <c r="A29" s="58" t="s">
        <v>486</v>
      </c>
      <c r="B29" s="59" t="s">
        <v>475</v>
      </c>
      <c r="C29" s="267">
        <f t="shared" si="14"/>
        <v>37572.474865856129</v>
      </c>
      <c r="D29" s="267">
        <f t="shared" si="15"/>
        <v>6615.5985559519304</v>
      </c>
      <c r="E29" s="267">
        <f t="shared" si="16"/>
        <v>-30956.876309904197</v>
      </c>
      <c r="F29" s="268">
        <v>2789.8658741407899</v>
      </c>
      <c r="G29" s="268">
        <v>127.03323</v>
      </c>
      <c r="H29" s="268">
        <f t="shared" si="17"/>
        <v>-2662.8326441407899</v>
      </c>
      <c r="I29" s="268">
        <v>2983.2839233469899</v>
      </c>
      <c r="J29" s="268">
        <v>6488.5653259519304</v>
      </c>
      <c r="K29" s="268">
        <f t="shared" si="20"/>
        <v>3505.2814026049405</v>
      </c>
      <c r="L29" s="268">
        <v>2914.4021806436199</v>
      </c>
      <c r="M29" s="268">
        <v>2838.6840913896499</v>
      </c>
      <c r="N29" s="268">
        <v>2755.4511647059899</v>
      </c>
      <c r="O29" s="268">
        <v>2663.9575711329799</v>
      </c>
      <c r="P29" s="268">
        <v>2563.38345943897</v>
      </c>
      <c r="Q29" s="268">
        <v>2452.8276101382298</v>
      </c>
      <c r="R29" s="268">
        <v>2331.29935988836</v>
      </c>
      <c r="S29" s="268">
        <v>2197.7097244036099</v>
      </c>
      <c r="T29" s="268">
        <v>2050.86164033873</v>
      </c>
      <c r="U29" s="268">
        <v>1889.43923870349</v>
      </c>
      <c r="V29" s="268">
        <v>1711.9960536894</v>
      </c>
      <c r="W29" s="268">
        <v>1516.94206125101</v>
      </c>
      <c r="X29" s="268">
        <v>1302.5294312977701</v>
      </c>
      <c r="Y29" s="268">
        <v>1066.83686582521</v>
      </c>
      <c r="Z29" s="268">
        <v>807.752382643636</v>
      </c>
      <c r="AA29" s="268">
        <v>522.95439043342003</v>
      </c>
      <c r="AB29" s="268">
        <v>209.890885545218</v>
      </c>
      <c r="AC29" s="268">
        <v>2.4069568990580201</v>
      </c>
    </row>
    <row r="30" spans="1:33" ht="30">
      <c r="A30" s="58" t="s">
        <v>487</v>
      </c>
      <c r="B30" s="59" t="s">
        <v>484</v>
      </c>
      <c r="C30" s="267">
        <f t="shared" si="14"/>
        <v>32296.67</v>
      </c>
      <c r="D30" s="267">
        <f t="shared" si="15"/>
        <v>3248.9993850378301</v>
      </c>
      <c r="E30" s="267">
        <f t="shared" si="16"/>
        <v>-29047.670614962168</v>
      </c>
      <c r="F30" s="268">
        <v>581.01392201893805</v>
      </c>
      <c r="G30" s="268">
        <v>0</v>
      </c>
      <c r="H30" s="268">
        <f t="shared" si="17"/>
        <v>-581.01392201893805</v>
      </c>
      <c r="I30" s="268">
        <v>694.03949064543497</v>
      </c>
      <c r="J30" s="268">
        <v>3248.9993850378301</v>
      </c>
      <c r="K30" s="268">
        <f t="shared" si="20"/>
        <v>2554.9598943923952</v>
      </c>
      <c r="L30" s="268">
        <v>762.92123334880796</v>
      </c>
      <c r="M30" s="268">
        <v>838.63932260278102</v>
      </c>
      <c r="N30" s="268">
        <v>921.87224928644105</v>
      </c>
      <c r="O30" s="268">
        <v>1013.36584285945</v>
      </c>
      <c r="P30" s="268">
        <v>1113.93995455346</v>
      </c>
      <c r="Q30" s="268">
        <v>1224.4958038541999</v>
      </c>
      <c r="R30" s="268">
        <v>1346.02405410406</v>
      </c>
      <c r="S30" s="268">
        <v>1479.6136895888201</v>
      </c>
      <c r="T30" s="268">
        <v>1626.46177365369</v>
      </c>
      <c r="U30" s="268">
        <v>1787.88417528894</v>
      </c>
      <c r="V30" s="268">
        <v>1965.32736030303</v>
      </c>
      <c r="W30" s="268">
        <v>2160.38135274141</v>
      </c>
      <c r="X30" s="268">
        <v>2374.7939826946599</v>
      </c>
      <c r="Y30" s="268">
        <v>2610.48654816722</v>
      </c>
      <c r="Z30" s="268">
        <v>2869.5710313487898</v>
      </c>
      <c r="AA30" s="268">
        <v>3154.3690235590102</v>
      </c>
      <c r="AB30" s="268">
        <v>3467.4325284472102</v>
      </c>
      <c r="AC30" s="268">
        <v>304.03666093364302</v>
      </c>
    </row>
    <row r="31" spans="1:33">
      <c r="A31" s="58" t="s">
        <v>139</v>
      </c>
      <c r="B31" s="59" t="s">
        <v>485</v>
      </c>
      <c r="C31" s="267">
        <f t="shared" si="14"/>
        <v>32296.67</v>
      </c>
      <c r="D31" s="267">
        <f t="shared" si="15"/>
        <v>52586.045190000004</v>
      </c>
      <c r="E31" s="267">
        <f t="shared" si="16"/>
        <v>20289.375190000006</v>
      </c>
      <c r="F31" s="268">
        <v>32296.67</v>
      </c>
      <c r="G31" s="268">
        <v>34080.63867</v>
      </c>
      <c r="H31" s="268">
        <f t="shared" si="17"/>
        <v>1783.968670000002</v>
      </c>
      <c r="I31" s="268">
        <v>0</v>
      </c>
      <c r="J31" s="268">
        <v>18505.40652</v>
      </c>
      <c r="K31" s="268">
        <f t="shared" si="20"/>
        <v>18505.40652</v>
      </c>
      <c r="L31" s="268">
        <v>0</v>
      </c>
      <c r="M31" s="268">
        <v>0</v>
      </c>
      <c r="N31" s="268">
        <v>0</v>
      </c>
      <c r="O31" s="268">
        <v>0</v>
      </c>
      <c r="P31" s="268">
        <v>0</v>
      </c>
      <c r="Q31" s="268">
        <v>0</v>
      </c>
      <c r="R31" s="268">
        <v>0</v>
      </c>
      <c r="S31" s="268">
        <v>0</v>
      </c>
      <c r="T31" s="268">
        <v>0</v>
      </c>
      <c r="U31" s="268">
        <v>0</v>
      </c>
      <c r="V31" s="268">
        <v>0</v>
      </c>
      <c r="W31" s="268">
        <v>0</v>
      </c>
      <c r="X31" s="268">
        <v>0</v>
      </c>
      <c r="Y31" s="268">
        <v>0</v>
      </c>
      <c r="Z31" s="268">
        <v>0</v>
      </c>
      <c r="AA31" s="268">
        <v>0</v>
      </c>
      <c r="AB31" s="268">
        <v>0</v>
      </c>
      <c r="AC31" s="268">
        <v>0</v>
      </c>
    </row>
    <row r="32" spans="1:33" ht="28.5">
      <c r="A32" s="46" t="s">
        <v>348</v>
      </c>
      <c r="B32" s="54" t="s">
        <v>473</v>
      </c>
      <c r="C32" s="265">
        <f t="shared" ref="C32:AC32" si="21">C9+C21</f>
        <v>1185199.3876080471</v>
      </c>
      <c r="D32" s="265">
        <f t="shared" si="21"/>
        <v>190873.07066000003</v>
      </c>
      <c r="E32" s="265">
        <f t="shared" si="21"/>
        <v>-994326.31694804737</v>
      </c>
      <c r="F32" s="270">
        <f t="shared" si="21"/>
        <v>212986.21660326817</v>
      </c>
      <c r="G32" s="270">
        <f t="shared" si="21"/>
        <v>146641.52740999998</v>
      </c>
      <c r="H32" s="270">
        <f t="shared" si="21"/>
        <v>-66344.689193268176</v>
      </c>
      <c r="I32" s="270">
        <f t="shared" si="21"/>
        <v>34051.535971411278</v>
      </c>
      <c r="J32" s="270">
        <f t="shared" si="21"/>
        <v>44231.543250000002</v>
      </c>
      <c r="K32" s="270">
        <f t="shared" si="21"/>
        <v>10180.007278588726</v>
      </c>
      <c r="L32" s="270">
        <f t="shared" si="21"/>
        <v>45477.325359487077</v>
      </c>
      <c r="M32" s="270">
        <f t="shared" si="21"/>
        <v>54489.309302134498</v>
      </c>
      <c r="N32" s="270">
        <f t="shared" si="21"/>
        <v>58869.412948293138</v>
      </c>
      <c r="O32" s="270">
        <f t="shared" si="21"/>
        <v>58343.426352192029</v>
      </c>
      <c r="P32" s="270">
        <f t="shared" si="21"/>
        <v>57765.236857168915</v>
      </c>
      <c r="Q32" s="270">
        <f t="shared" si="21"/>
        <v>57129.663451623783</v>
      </c>
      <c r="R32" s="270">
        <f t="shared" si="21"/>
        <v>56431.010921072113</v>
      </c>
      <c r="S32" s="270">
        <f t="shared" si="21"/>
        <v>55663.018814751063</v>
      </c>
      <c r="T32" s="270">
        <f t="shared" si="21"/>
        <v>54818.805347284455</v>
      </c>
      <c r="U32" s="270">
        <f t="shared" si="21"/>
        <v>53890.805732723093</v>
      </c>
      <c r="V32" s="270">
        <f t="shared" si="21"/>
        <v>52870.704398388421</v>
      </c>
      <c r="W32" s="270">
        <f t="shared" si="21"/>
        <v>51749.360471103202</v>
      </c>
      <c r="X32" s="270">
        <f t="shared" si="21"/>
        <v>50516.725868111032</v>
      </c>
      <c r="Y32" s="270">
        <f t="shared" si="21"/>
        <v>49161.755258717232</v>
      </c>
      <c r="Z32" s="270">
        <f t="shared" si="21"/>
        <v>47672.307089840309</v>
      </c>
      <c r="AA32" s="270">
        <f t="shared" si="21"/>
        <v>46035.034788588484</v>
      </c>
      <c r="AB32" s="270">
        <f t="shared" si="21"/>
        <v>44235.267166954654</v>
      </c>
      <c r="AC32" s="270">
        <f t="shared" si="21"/>
        <v>43042.464904934066</v>
      </c>
    </row>
    <row r="33" spans="1:29">
      <c r="A33" s="58" t="s">
        <v>76</v>
      </c>
      <c r="B33" s="59" t="s">
        <v>474</v>
      </c>
      <c r="C33" s="267">
        <f t="shared" ref="C33:AC33" si="22">C10+C22</f>
        <v>969199.36629490531</v>
      </c>
      <c r="D33" s="267">
        <f t="shared" si="22"/>
        <v>174522.96657000002</v>
      </c>
      <c r="E33" s="267">
        <f t="shared" si="22"/>
        <v>-794676.39972490538</v>
      </c>
      <c r="F33" s="271">
        <f t="shared" si="22"/>
        <v>196947.58485418319</v>
      </c>
      <c r="G33" s="271">
        <f t="shared" si="22"/>
        <v>146138.38410999998</v>
      </c>
      <c r="H33" s="271">
        <f t="shared" si="22"/>
        <v>-50809.200744183188</v>
      </c>
      <c r="I33" s="271">
        <f t="shared" si="22"/>
        <v>16900.965152567191</v>
      </c>
      <c r="J33" s="271">
        <f t="shared" si="22"/>
        <v>28384.582460000005</v>
      </c>
      <c r="K33" s="271">
        <f t="shared" si="22"/>
        <v>11483.617307432816</v>
      </c>
      <c r="L33" s="271">
        <f t="shared" si="22"/>
        <v>28722.74809563606</v>
      </c>
      <c r="M33" s="271">
        <f t="shared" si="22"/>
        <v>38170.026996921151</v>
      </c>
      <c r="N33" s="271">
        <f t="shared" si="22"/>
        <v>43028.627574724851</v>
      </c>
      <c r="O33" s="271">
        <f t="shared" si="22"/>
        <v>43028.627574724851</v>
      </c>
      <c r="P33" s="271">
        <f t="shared" si="22"/>
        <v>43028.627574724851</v>
      </c>
      <c r="Q33" s="271">
        <f t="shared" si="22"/>
        <v>43028.627574724851</v>
      </c>
      <c r="R33" s="271">
        <f t="shared" si="22"/>
        <v>43028.627574724851</v>
      </c>
      <c r="S33" s="271">
        <f t="shared" si="22"/>
        <v>43028.627574724851</v>
      </c>
      <c r="T33" s="271">
        <f t="shared" si="22"/>
        <v>43028.627574724851</v>
      </c>
      <c r="U33" s="271">
        <f t="shared" si="22"/>
        <v>43028.627574724851</v>
      </c>
      <c r="V33" s="271">
        <f t="shared" si="22"/>
        <v>43028.627574724851</v>
      </c>
      <c r="W33" s="271">
        <f t="shared" si="22"/>
        <v>43028.627574724851</v>
      </c>
      <c r="X33" s="271">
        <f t="shared" si="22"/>
        <v>43028.627574724851</v>
      </c>
      <c r="Y33" s="271">
        <f t="shared" si="22"/>
        <v>43028.627574724851</v>
      </c>
      <c r="Z33" s="271">
        <f t="shared" si="22"/>
        <v>43028.627574724851</v>
      </c>
      <c r="AA33" s="271">
        <f t="shared" si="22"/>
        <v>43028.627574724851</v>
      </c>
      <c r="AB33" s="271">
        <f t="shared" si="22"/>
        <v>43028.627574724851</v>
      </c>
      <c r="AC33" s="271">
        <f t="shared" si="22"/>
        <v>43028.627574724851</v>
      </c>
    </row>
    <row r="34" spans="1:29">
      <c r="A34" s="58" t="s">
        <v>82</v>
      </c>
      <c r="B34" s="59" t="s">
        <v>475</v>
      </c>
      <c r="C34" s="267">
        <f t="shared" ref="C34:AC34" si="23">C11+C23</f>
        <v>216000.02131314186</v>
      </c>
      <c r="D34" s="267">
        <f t="shared" si="23"/>
        <v>16350.104090000001</v>
      </c>
      <c r="E34" s="267">
        <f t="shared" si="23"/>
        <v>-199649.91722314182</v>
      </c>
      <c r="F34" s="271">
        <f t="shared" si="23"/>
        <v>16038.631749084991</v>
      </c>
      <c r="G34" s="271">
        <f t="shared" si="23"/>
        <v>503.14330000000001</v>
      </c>
      <c r="H34" s="271">
        <f t="shared" si="23"/>
        <v>-15535.488449084989</v>
      </c>
      <c r="I34" s="271">
        <f t="shared" si="23"/>
        <v>17150.570818844091</v>
      </c>
      <c r="J34" s="271">
        <f t="shared" si="23"/>
        <v>15846.960790000001</v>
      </c>
      <c r="K34" s="271">
        <f t="shared" si="23"/>
        <v>-1303.6100288440898</v>
      </c>
      <c r="L34" s="271">
        <f t="shared" si="23"/>
        <v>16754.577263851021</v>
      </c>
      <c r="M34" s="271">
        <f t="shared" si="23"/>
        <v>16319.28230521335</v>
      </c>
      <c r="N34" s="271">
        <f t="shared" si="23"/>
        <v>15840.785373568289</v>
      </c>
      <c r="O34" s="271">
        <f t="shared" si="23"/>
        <v>15314.79877746718</v>
      </c>
      <c r="P34" s="271">
        <f t="shared" si="23"/>
        <v>14736.609282444069</v>
      </c>
      <c r="Q34" s="271">
        <f t="shared" si="23"/>
        <v>14101.035876898928</v>
      </c>
      <c r="R34" s="271">
        <f t="shared" si="23"/>
        <v>13402.38334634726</v>
      </c>
      <c r="S34" s="271">
        <f t="shared" si="23"/>
        <v>12634.391240026211</v>
      </c>
      <c r="T34" s="271">
        <f t="shared" si="23"/>
        <v>11790.1777725596</v>
      </c>
      <c r="U34" s="271">
        <f t="shared" si="23"/>
        <v>10862.17815799824</v>
      </c>
      <c r="V34" s="271">
        <f t="shared" si="23"/>
        <v>9842.0768236635704</v>
      </c>
      <c r="W34" s="271">
        <f t="shared" si="23"/>
        <v>8720.7328963783493</v>
      </c>
      <c r="X34" s="271">
        <f t="shared" si="23"/>
        <v>7488.0982933861806</v>
      </c>
      <c r="Y34" s="271">
        <f t="shared" si="23"/>
        <v>6133.1276839923803</v>
      </c>
      <c r="Z34" s="271">
        <f t="shared" si="23"/>
        <v>4643.6795151154565</v>
      </c>
      <c r="AA34" s="271">
        <f t="shared" si="23"/>
        <v>3006.4072138636302</v>
      </c>
      <c r="AB34" s="271">
        <f t="shared" si="23"/>
        <v>1206.639592229805</v>
      </c>
      <c r="AC34" s="271">
        <f t="shared" si="23"/>
        <v>13.83733020921672</v>
      </c>
    </row>
    <row r="35" spans="1:29">
      <c r="A35" s="58" t="s">
        <v>90</v>
      </c>
      <c r="B35" s="59" t="s">
        <v>476</v>
      </c>
      <c r="C35" s="267">
        <f t="shared" ref="C35:AC35" si="24">C12+C24</f>
        <v>0</v>
      </c>
      <c r="D35" s="267">
        <f t="shared" si="24"/>
        <v>0</v>
      </c>
      <c r="E35" s="267">
        <f t="shared" si="24"/>
        <v>0</v>
      </c>
      <c r="F35" s="271">
        <f t="shared" si="24"/>
        <v>0</v>
      </c>
      <c r="G35" s="271">
        <f t="shared" si="24"/>
        <v>0</v>
      </c>
      <c r="H35" s="271">
        <f t="shared" si="24"/>
        <v>0</v>
      </c>
      <c r="I35" s="271">
        <f t="shared" si="24"/>
        <v>0</v>
      </c>
      <c r="J35" s="271">
        <f t="shared" si="24"/>
        <v>0</v>
      </c>
      <c r="K35" s="271">
        <f t="shared" si="24"/>
        <v>0</v>
      </c>
      <c r="L35" s="271">
        <f t="shared" si="24"/>
        <v>0</v>
      </c>
      <c r="M35" s="271">
        <f t="shared" si="24"/>
        <v>0</v>
      </c>
      <c r="N35" s="271">
        <f t="shared" si="24"/>
        <v>0</v>
      </c>
      <c r="O35" s="271">
        <f t="shared" si="24"/>
        <v>0</v>
      </c>
      <c r="P35" s="271">
        <f t="shared" si="24"/>
        <v>0</v>
      </c>
      <c r="Q35" s="271">
        <f t="shared" si="24"/>
        <v>0</v>
      </c>
      <c r="R35" s="271">
        <f t="shared" si="24"/>
        <v>0</v>
      </c>
      <c r="S35" s="271">
        <f t="shared" si="24"/>
        <v>0</v>
      </c>
      <c r="T35" s="271">
        <f t="shared" si="24"/>
        <v>0</v>
      </c>
      <c r="U35" s="271">
        <f t="shared" si="24"/>
        <v>0</v>
      </c>
      <c r="V35" s="271">
        <f t="shared" si="24"/>
        <v>0</v>
      </c>
      <c r="W35" s="271">
        <f t="shared" si="24"/>
        <v>0</v>
      </c>
      <c r="X35" s="271">
        <f t="shared" si="24"/>
        <v>0</v>
      </c>
      <c r="Y35" s="271">
        <f t="shared" si="24"/>
        <v>0</v>
      </c>
      <c r="Z35" s="271">
        <f t="shared" si="24"/>
        <v>0</v>
      </c>
      <c r="AA35" s="271">
        <f t="shared" si="24"/>
        <v>0</v>
      </c>
      <c r="AB35" s="271">
        <f t="shared" si="24"/>
        <v>0</v>
      </c>
      <c r="AC35" s="271">
        <f t="shared" si="24"/>
        <v>0</v>
      </c>
    </row>
    <row r="36" spans="1:29" ht="42.75">
      <c r="A36" s="46" t="s">
        <v>153</v>
      </c>
      <c r="B36" s="54" t="s">
        <v>477</v>
      </c>
      <c r="C36" s="265">
        <f t="shared" ref="C36:AC36" si="25">C13+C25</f>
        <v>1370869.3876080471</v>
      </c>
      <c r="D36" s="265">
        <f t="shared" si="25"/>
        <v>198808.07066000003</v>
      </c>
      <c r="E36" s="265">
        <f t="shared" si="25"/>
        <v>-1172061.3169480474</v>
      </c>
      <c r="F36" s="270">
        <f t="shared" si="25"/>
        <v>216326.40167192247</v>
      </c>
      <c r="G36" s="270">
        <f t="shared" si="25"/>
        <v>146641.52741000001</v>
      </c>
      <c r="H36" s="270">
        <f t="shared" si="25"/>
        <v>-69684.874261922509</v>
      </c>
      <c r="I36" s="270">
        <f t="shared" si="25"/>
        <v>38041.492590101006</v>
      </c>
      <c r="J36" s="270">
        <f t="shared" si="25"/>
        <v>52166.543250000002</v>
      </c>
      <c r="K36" s="270">
        <f t="shared" si="25"/>
        <v>14125.050659898996</v>
      </c>
      <c r="L36" s="270">
        <f t="shared" si="25"/>
        <v>49863.275533169784</v>
      </c>
      <c r="M36" s="270">
        <f t="shared" si="25"/>
        <v>59310.554434454898</v>
      </c>
      <c r="N36" s="270">
        <f t="shared" si="25"/>
        <v>64169.15501225867</v>
      </c>
      <c r="O36" s="270">
        <f t="shared" si="25"/>
        <v>64169.155012258641</v>
      </c>
      <c r="P36" s="270">
        <f t="shared" si="25"/>
        <v>64169.155012258634</v>
      </c>
      <c r="Q36" s="270">
        <f t="shared" si="25"/>
        <v>64169.155012258649</v>
      </c>
      <c r="R36" s="270">
        <f t="shared" si="25"/>
        <v>64169.155012258634</v>
      </c>
      <c r="S36" s="270">
        <f t="shared" si="25"/>
        <v>64169.155012258605</v>
      </c>
      <c r="T36" s="270">
        <f t="shared" si="25"/>
        <v>64169.155012258627</v>
      </c>
      <c r="U36" s="270">
        <f t="shared" si="25"/>
        <v>64169.155012258627</v>
      </c>
      <c r="V36" s="270">
        <f t="shared" si="25"/>
        <v>64169.155012258627</v>
      </c>
      <c r="W36" s="270">
        <f t="shared" si="25"/>
        <v>64169.155012258612</v>
      </c>
      <c r="X36" s="270">
        <f t="shared" si="25"/>
        <v>64169.15501225859</v>
      </c>
      <c r="Y36" s="270">
        <f t="shared" si="25"/>
        <v>64169.155012258649</v>
      </c>
      <c r="Z36" s="270">
        <f t="shared" si="25"/>
        <v>64169.155012258598</v>
      </c>
      <c r="AA36" s="270">
        <f t="shared" si="25"/>
        <v>64169.15501225859</v>
      </c>
      <c r="AB36" s="270">
        <f t="shared" si="25"/>
        <v>64169.155012258663</v>
      </c>
      <c r="AC36" s="270">
        <f t="shared" si="25"/>
        <v>44790.338194519325</v>
      </c>
    </row>
    <row r="37" spans="1:29">
      <c r="A37" s="58" t="s">
        <v>156</v>
      </c>
      <c r="B37" s="59" t="s">
        <v>478</v>
      </c>
      <c r="C37" s="267">
        <f t="shared" ref="C37:AC37" si="26">C14+C26</f>
        <v>1185199.3876080471</v>
      </c>
      <c r="D37" s="267">
        <f t="shared" si="26"/>
        <v>38364.811270000006</v>
      </c>
      <c r="E37" s="267">
        <f t="shared" si="26"/>
        <v>-1146834.5763380472</v>
      </c>
      <c r="F37" s="271">
        <f t="shared" si="26"/>
        <v>30656.401671922515</v>
      </c>
      <c r="G37" s="271">
        <f t="shared" si="26"/>
        <v>11753.390380000001</v>
      </c>
      <c r="H37" s="271">
        <f t="shared" si="26"/>
        <v>-18903.011291922518</v>
      </c>
      <c r="I37" s="271">
        <f t="shared" si="26"/>
        <v>38041.492590101006</v>
      </c>
      <c r="J37" s="271">
        <f t="shared" si="26"/>
        <v>26611.420890000005</v>
      </c>
      <c r="K37" s="271">
        <f t="shared" si="26"/>
        <v>-11430.071700101002</v>
      </c>
      <c r="L37" s="271">
        <f t="shared" si="26"/>
        <v>49863.275533169784</v>
      </c>
      <c r="M37" s="271">
        <f t="shared" si="26"/>
        <v>59310.554434454898</v>
      </c>
      <c r="N37" s="271">
        <f t="shared" si="26"/>
        <v>64169.15501225867</v>
      </c>
      <c r="O37" s="271">
        <f t="shared" si="26"/>
        <v>64169.155012258641</v>
      </c>
      <c r="P37" s="271">
        <f t="shared" si="26"/>
        <v>64169.155012258634</v>
      </c>
      <c r="Q37" s="271">
        <f t="shared" si="26"/>
        <v>64169.155012258649</v>
      </c>
      <c r="R37" s="271">
        <f t="shared" si="26"/>
        <v>64169.155012258634</v>
      </c>
      <c r="S37" s="271">
        <f t="shared" si="26"/>
        <v>64169.155012258605</v>
      </c>
      <c r="T37" s="271">
        <f t="shared" si="26"/>
        <v>64169.155012258627</v>
      </c>
      <c r="U37" s="271">
        <f t="shared" si="26"/>
        <v>64169.155012258627</v>
      </c>
      <c r="V37" s="271">
        <f t="shared" si="26"/>
        <v>64169.155012258627</v>
      </c>
      <c r="W37" s="271">
        <f t="shared" si="26"/>
        <v>64169.155012258612</v>
      </c>
      <c r="X37" s="271">
        <f t="shared" si="26"/>
        <v>64169.15501225859</v>
      </c>
      <c r="Y37" s="271">
        <f t="shared" si="26"/>
        <v>64169.155012258649</v>
      </c>
      <c r="Z37" s="271">
        <f t="shared" si="26"/>
        <v>64169.155012258598</v>
      </c>
      <c r="AA37" s="271">
        <f t="shared" si="26"/>
        <v>64169.15501225859</v>
      </c>
      <c r="AB37" s="271">
        <f t="shared" si="26"/>
        <v>64169.155012258663</v>
      </c>
      <c r="AC37" s="271">
        <f t="shared" si="26"/>
        <v>44790.338194519325</v>
      </c>
    </row>
    <row r="38" spans="1:29">
      <c r="A38" s="58" t="s">
        <v>488</v>
      </c>
      <c r="B38" s="59" t="s">
        <v>421</v>
      </c>
      <c r="C38" s="267">
        <f t="shared" ref="C38:AC38" si="27">C15+C27</f>
        <v>367054.88730358868</v>
      </c>
      <c r="D38" s="267">
        <f t="shared" si="27"/>
        <v>13521.40978302779</v>
      </c>
      <c r="E38" s="267">
        <f t="shared" si="27"/>
        <v>-353533.47752056085</v>
      </c>
      <c r="F38" s="271">
        <f t="shared" si="27"/>
        <v>11277.5848541832</v>
      </c>
      <c r="G38" s="271">
        <f t="shared" si="27"/>
        <v>11250.247080000001</v>
      </c>
      <c r="H38" s="271">
        <f t="shared" si="27"/>
        <v>-27.337774183200054</v>
      </c>
      <c r="I38" s="271">
        <f t="shared" si="27"/>
        <v>12672.85966506043</v>
      </c>
      <c r="J38" s="271">
        <f t="shared" si="27"/>
        <v>2271.16270302779</v>
      </c>
      <c r="K38" s="271">
        <f t="shared" si="27"/>
        <v>-10401.69696203264</v>
      </c>
      <c r="L38" s="271">
        <f t="shared" si="27"/>
        <v>14347.189438113099</v>
      </c>
      <c r="M38" s="271">
        <f t="shared" si="27"/>
        <v>16691.251120386849</v>
      </c>
      <c r="N38" s="271">
        <f t="shared" si="27"/>
        <v>19504.125139115313</v>
      </c>
      <c r="O38" s="271">
        <f t="shared" si="27"/>
        <v>19504.125139115313</v>
      </c>
      <c r="P38" s="271">
        <f t="shared" si="27"/>
        <v>19504.125139115313</v>
      </c>
      <c r="Q38" s="271">
        <f t="shared" si="27"/>
        <v>19504.125139115313</v>
      </c>
      <c r="R38" s="271">
        <f t="shared" si="27"/>
        <v>19504.125139115313</v>
      </c>
      <c r="S38" s="271">
        <f t="shared" si="27"/>
        <v>19504.125139115313</v>
      </c>
      <c r="T38" s="271">
        <f t="shared" si="27"/>
        <v>19504.125139115313</v>
      </c>
      <c r="U38" s="271">
        <f t="shared" si="27"/>
        <v>19504.125139115313</v>
      </c>
      <c r="V38" s="271">
        <f t="shared" si="27"/>
        <v>19504.125139115313</v>
      </c>
      <c r="W38" s="271">
        <f t="shared" si="27"/>
        <v>19504.125139115313</v>
      </c>
      <c r="X38" s="271">
        <f t="shared" si="27"/>
        <v>19504.125139115313</v>
      </c>
      <c r="Y38" s="271">
        <f t="shared" si="27"/>
        <v>19504.125139115313</v>
      </c>
      <c r="Z38" s="271">
        <f t="shared" si="27"/>
        <v>19504.125139115313</v>
      </c>
      <c r="AA38" s="271">
        <f t="shared" si="27"/>
        <v>19504.125139115313</v>
      </c>
      <c r="AB38" s="271">
        <f t="shared" si="27"/>
        <v>19504.125139115313</v>
      </c>
      <c r="AC38" s="271">
        <f t="shared" si="27"/>
        <v>19504.125139115313</v>
      </c>
    </row>
    <row r="39" spans="1:29">
      <c r="A39" s="58" t="s">
        <v>489</v>
      </c>
      <c r="B39" s="59" t="s">
        <v>481</v>
      </c>
      <c r="C39" s="267">
        <f t="shared" ref="C39:AC39" si="28">C16+C28</f>
        <v>416474.47899131675</v>
      </c>
      <c r="D39" s="267">
        <f t="shared" si="28"/>
        <v>558.29739697221396</v>
      </c>
      <c r="E39" s="267">
        <f t="shared" si="28"/>
        <v>-415916.18159434455</v>
      </c>
      <c r="F39" s="271">
        <f t="shared" si="28"/>
        <v>0</v>
      </c>
      <c r="G39" s="271">
        <f t="shared" si="28"/>
        <v>0</v>
      </c>
      <c r="H39" s="271">
        <f t="shared" si="28"/>
        <v>0</v>
      </c>
      <c r="I39" s="271">
        <f t="shared" si="28"/>
        <v>4228.1054875067603</v>
      </c>
      <c r="J39" s="271">
        <f t="shared" si="28"/>
        <v>558.29739697221396</v>
      </c>
      <c r="K39" s="271">
        <f t="shared" si="28"/>
        <v>-3669.808090534546</v>
      </c>
      <c r="L39" s="271">
        <f t="shared" si="28"/>
        <v>14375.558657522959</v>
      </c>
      <c r="M39" s="271">
        <f t="shared" si="28"/>
        <v>21478.775876534302</v>
      </c>
      <c r="N39" s="271">
        <f t="shared" si="28"/>
        <v>23524.502435609538</v>
      </c>
      <c r="O39" s="271">
        <f t="shared" si="28"/>
        <v>23524.502435609538</v>
      </c>
      <c r="P39" s="271">
        <f t="shared" si="28"/>
        <v>23524.502435609538</v>
      </c>
      <c r="Q39" s="271">
        <f t="shared" si="28"/>
        <v>23524.502435609538</v>
      </c>
      <c r="R39" s="271">
        <f t="shared" si="28"/>
        <v>23524.502435609538</v>
      </c>
      <c r="S39" s="271">
        <f t="shared" si="28"/>
        <v>23524.502435609538</v>
      </c>
      <c r="T39" s="271">
        <f t="shared" si="28"/>
        <v>23524.502435609538</v>
      </c>
      <c r="U39" s="271">
        <f t="shared" si="28"/>
        <v>23524.502435609538</v>
      </c>
      <c r="V39" s="271">
        <f t="shared" si="28"/>
        <v>23524.502435609538</v>
      </c>
      <c r="W39" s="271">
        <f t="shared" si="28"/>
        <v>23524.502435609538</v>
      </c>
      <c r="X39" s="271">
        <f t="shared" si="28"/>
        <v>23524.502435609538</v>
      </c>
      <c r="Y39" s="271">
        <f t="shared" si="28"/>
        <v>23524.502435609538</v>
      </c>
      <c r="Z39" s="271">
        <f t="shared" si="28"/>
        <v>23524.502435609538</v>
      </c>
      <c r="AA39" s="271">
        <f t="shared" si="28"/>
        <v>23524.502435609538</v>
      </c>
      <c r="AB39" s="271">
        <f t="shared" si="28"/>
        <v>23524.502435609538</v>
      </c>
      <c r="AC39" s="271">
        <f t="shared" si="28"/>
        <v>23524.502435609538</v>
      </c>
    </row>
    <row r="40" spans="1:29">
      <c r="A40" s="58" t="s">
        <v>490</v>
      </c>
      <c r="B40" s="59" t="s">
        <v>475</v>
      </c>
      <c r="C40" s="267">
        <f t="shared" ref="C40:AC40" si="29">C17+C29</f>
        <v>216000.02131314186</v>
      </c>
      <c r="D40" s="267">
        <f t="shared" si="29"/>
        <v>16350.104090000001</v>
      </c>
      <c r="E40" s="267">
        <f t="shared" si="29"/>
        <v>-199649.91722314182</v>
      </c>
      <c r="F40" s="271">
        <f t="shared" si="29"/>
        <v>16038.631749084991</v>
      </c>
      <c r="G40" s="271">
        <f t="shared" si="29"/>
        <v>503.14330000000001</v>
      </c>
      <c r="H40" s="271">
        <f t="shared" si="29"/>
        <v>-15535.488449084989</v>
      </c>
      <c r="I40" s="271">
        <f t="shared" si="29"/>
        <v>17150.570818844091</v>
      </c>
      <c r="J40" s="271">
        <f t="shared" si="29"/>
        <v>15846.960790000001</v>
      </c>
      <c r="K40" s="271">
        <f t="shared" si="29"/>
        <v>-1303.6100288440898</v>
      </c>
      <c r="L40" s="271">
        <f t="shared" si="29"/>
        <v>16754.577263851021</v>
      </c>
      <c r="M40" s="271">
        <f t="shared" si="29"/>
        <v>16319.28230521335</v>
      </c>
      <c r="N40" s="271">
        <f t="shared" si="29"/>
        <v>15840.785373568289</v>
      </c>
      <c r="O40" s="271">
        <f t="shared" si="29"/>
        <v>15314.79877746718</v>
      </c>
      <c r="P40" s="271">
        <f t="shared" si="29"/>
        <v>14736.609282444069</v>
      </c>
      <c r="Q40" s="271">
        <f t="shared" si="29"/>
        <v>14101.035876898928</v>
      </c>
      <c r="R40" s="271">
        <f t="shared" si="29"/>
        <v>13402.38334634726</v>
      </c>
      <c r="S40" s="271">
        <f t="shared" si="29"/>
        <v>12634.391240026211</v>
      </c>
      <c r="T40" s="271">
        <f t="shared" si="29"/>
        <v>11790.1777725596</v>
      </c>
      <c r="U40" s="271">
        <f t="shared" si="29"/>
        <v>10862.17815799824</v>
      </c>
      <c r="V40" s="271">
        <f t="shared" si="29"/>
        <v>9842.0768236635704</v>
      </c>
      <c r="W40" s="271">
        <f t="shared" si="29"/>
        <v>8720.7328963783493</v>
      </c>
      <c r="X40" s="271">
        <f t="shared" si="29"/>
        <v>7488.0982933861806</v>
      </c>
      <c r="Y40" s="271">
        <f t="shared" si="29"/>
        <v>6133.1276839923803</v>
      </c>
      <c r="Z40" s="271">
        <f t="shared" si="29"/>
        <v>4643.6795151154565</v>
      </c>
      <c r="AA40" s="271">
        <f t="shared" si="29"/>
        <v>3006.4072138636302</v>
      </c>
      <c r="AB40" s="271">
        <f t="shared" si="29"/>
        <v>1206.639592229805</v>
      </c>
      <c r="AC40" s="271">
        <f t="shared" si="29"/>
        <v>13.83733020921672</v>
      </c>
    </row>
    <row r="41" spans="1:29" ht="30">
      <c r="A41" s="58" t="s">
        <v>491</v>
      </c>
      <c r="B41" s="59" t="s">
        <v>484</v>
      </c>
      <c r="C41" s="267">
        <f t="shared" ref="C41:AC41" si="30">C18+C30</f>
        <v>185669.99999999994</v>
      </c>
      <c r="D41" s="267">
        <f t="shared" si="30"/>
        <v>7935</v>
      </c>
      <c r="E41" s="267">
        <f t="shared" si="30"/>
        <v>-177734.99999999997</v>
      </c>
      <c r="F41" s="271">
        <f t="shared" si="30"/>
        <v>3340.185068654328</v>
      </c>
      <c r="G41" s="271">
        <f t="shared" si="30"/>
        <v>0</v>
      </c>
      <c r="H41" s="271">
        <f t="shared" si="30"/>
        <v>-3340.185068654328</v>
      </c>
      <c r="I41" s="271">
        <f t="shared" si="30"/>
        <v>3989.956618689725</v>
      </c>
      <c r="J41" s="271">
        <f t="shared" si="30"/>
        <v>7935</v>
      </c>
      <c r="K41" s="271">
        <f t="shared" si="30"/>
        <v>3945.0433813102754</v>
      </c>
      <c r="L41" s="271">
        <f t="shared" si="30"/>
        <v>4385.9501736827078</v>
      </c>
      <c r="M41" s="271">
        <f t="shared" si="30"/>
        <v>4821.2451323204014</v>
      </c>
      <c r="N41" s="271">
        <f t="shared" si="30"/>
        <v>5299.7420639655311</v>
      </c>
      <c r="O41" s="271">
        <f t="shared" si="30"/>
        <v>5825.7286600666102</v>
      </c>
      <c r="P41" s="271">
        <f t="shared" si="30"/>
        <v>6403.9181550897101</v>
      </c>
      <c r="Q41" s="271">
        <f t="shared" si="30"/>
        <v>7039.4915606348695</v>
      </c>
      <c r="R41" s="271">
        <f t="shared" si="30"/>
        <v>7738.1440911865302</v>
      </c>
      <c r="S41" s="271">
        <f t="shared" si="30"/>
        <v>8506.1361975075397</v>
      </c>
      <c r="T41" s="271">
        <f t="shared" si="30"/>
        <v>9350.3496649741701</v>
      </c>
      <c r="U41" s="271">
        <f t="shared" si="30"/>
        <v>10278.34927953554</v>
      </c>
      <c r="V41" s="271">
        <f t="shared" si="30"/>
        <v>11298.450613870211</v>
      </c>
      <c r="W41" s="271">
        <f t="shared" si="30"/>
        <v>12419.79454115541</v>
      </c>
      <c r="X41" s="271">
        <f t="shared" si="30"/>
        <v>13652.42914414756</v>
      </c>
      <c r="Y41" s="271">
        <f t="shared" si="30"/>
        <v>15007.39975354142</v>
      </c>
      <c r="Z41" s="271">
        <f t="shared" si="30"/>
        <v>16496.847922418288</v>
      </c>
      <c r="AA41" s="271">
        <f t="shared" si="30"/>
        <v>18134.12022367011</v>
      </c>
      <c r="AB41" s="271">
        <f t="shared" si="30"/>
        <v>19933.887845304012</v>
      </c>
      <c r="AC41" s="271">
        <f t="shared" si="30"/>
        <v>1747.8732895852631</v>
      </c>
    </row>
    <row r="42" spans="1:29">
      <c r="A42" s="58" t="s">
        <v>159</v>
      </c>
      <c r="B42" s="59" t="s">
        <v>485</v>
      </c>
      <c r="C42" s="267">
        <f t="shared" ref="C42:AC42" si="31">C19+C31</f>
        <v>185670</v>
      </c>
      <c r="D42" s="267">
        <f t="shared" si="31"/>
        <v>160443.25939000002</v>
      </c>
      <c r="E42" s="267">
        <f t="shared" si="31"/>
        <v>-25226.740609999979</v>
      </c>
      <c r="F42" s="271">
        <f t="shared" si="31"/>
        <v>185670</v>
      </c>
      <c r="G42" s="271">
        <f t="shared" si="31"/>
        <v>134888.13702999998</v>
      </c>
      <c r="H42" s="271">
        <f t="shared" si="31"/>
        <v>-50781.862969999987</v>
      </c>
      <c r="I42" s="271">
        <f t="shared" si="31"/>
        <v>0</v>
      </c>
      <c r="J42" s="271">
        <f t="shared" si="31"/>
        <v>25555.122360000001</v>
      </c>
      <c r="K42" s="271">
        <f t="shared" si="31"/>
        <v>25555.122360000001</v>
      </c>
      <c r="L42" s="271">
        <f t="shared" si="31"/>
        <v>0</v>
      </c>
      <c r="M42" s="271">
        <f t="shared" si="31"/>
        <v>0</v>
      </c>
      <c r="N42" s="271">
        <f t="shared" si="31"/>
        <v>0</v>
      </c>
      <c r="O42" s="271">
        <f t="shared" si="31"/>
        <v>0</v>
      </c>
      <c r="P42" s="271">
        <f t="shared" si="31"/>
        <v>0</v>
      </c>
      <c r="Q42" s="271">
        <f t="shared" si="31"/>
        <v>0</v>
      </c>
      <c r="R42" s="271">
        <f t="shared" si="31"/>
        <v>0</v>
      </c>
      <c r="S42" s="271">
        <f t="shared" si="31"/>
        <v>0</v>
      </c>
      <c r="T42" s="271">
        <f t="shared" si="31"/>
        <v>0</v>
      </c>
      <c r="U42" s="271">
        <f t="shared" si="31"/>
        <v>0</v>
      </c>
      <c r="V42" s="271">
        <f t="shared" si="31"/>
        <v>0</v>
      </c>
      <c r="W42" s="271">
        <f t="shared" si="31"/>
        <v>0</v>
      </c>
      <c r="X42" s="271">
        <f t="shared" si="31"/>
        <v>0</v>
      </c>
      <c r="Y42" s="271">
        <f t="shared" si="31"/>
        <v>0</v>
      </c>
      <c r="Z42" s="271">
        <f t="shared" si="31"/>
        <v>0</v>
      </c>
      <c r="AA42" s="271">
        <f t="shared" si="31"/>
        <v>0</v>
      </c>
      <c r="AB42" s="271">
        <f t="shared" si="31"/>
        <v>0</v>
      </c>
      <c r="AC42" s="271">
        <f t="shared" si="31"/>
        <v>0</v>
      </c>
    </row>
    <row r="46" spans="1:29">
      <c r="B46" s="2" t="s">
        <v>312</v>
      </c>
      <c r="C46" s="2"/>
      <c r="D46" s="272"/>
      <c r="E46" s="272"/>
      <c r="F46" s="2"/>
      <c r="G46" s="2"/>
      <c r="H46" s="273"/>
      <c r="K46" s="273" t="s">
        <v>313</v>
      </c>
    </row>
  </sheetData>
  <mergeCells count="9">
    <mergeCell ref="B1:K1"/>
    <mergeCell ref="V1:AA1"/>
    <mergeCell ref="A2:AB2"/>
    <mergeCell ref="F4:AC4"/>
    <mergeCell ref="F5:H5"/>
    <mergeCell ref="I5:K5"/>
    <mergeCell ref="A4:A6"/>
    <mergeCell ref="B4:B6"/>
    <mergeCell ref="C4:E5"/>
  </mergeCells>
  <pageMargins left="0.59930555555555598" right="0.59930555555555598" top="0.59930555555555598" bottom="0.59930555555555598" header="0.51041666666666696" footer="0.51041666666666696"/>
  <pageSetup paperSize="9" scale="80" firstPageNumber="0" orientation="portrait" useFirstPageNumber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8"/>
  <sheetViews>
    <sheetView view="pageBreakPreview" zoomScaleNormal="100" zoomScaleSheetLayoutView="100" workbookViewId="0"/>
  </sheetViews>
  <sheetFormatPr defaultColWidth="9" defaultRowHeight="15"/>
  <cols>
    <col min="1" max="1" width="6.28515625" style="237" customWidth="1"/>
    <col min="2" max="2" width="8.42578125" style="237" customWidth="1"/>
    <col min="3" max="3" width="36.85546875" style="237" customWidth="1"/>
    <col min="4" max="4" width="21.5703125" style="237" customWidth="1"/>
    <col min="5" max="5" width="17.85546875" style="237" customWidth="1"/>
    <col min="6" max="6" width="20" style="237" customWidth="1"/>
    <col min="7" max="7" width="20.7109375" style="237" customWidth="1"/>
    <col min="8" max="8" width="28.7109375" style="237" hidden="1" customWidth="1"/>
    <col min="9" max="9" width="28.7109375" style="237" customWidth="1"/>
    <col min="10" max="10" width="11.140625" style="237" customWidth="1"/>
    <col min="11" max="11" width="51.7109375" style="237" customWidth="1"/>
    <col min="12" max="1025" width="9" style="237" customWidth="1"/>
  </cols>
  <sheetData>
    <row r="1" spans="1:12" ht="14.25" customHeight="1">
      <c r="H1" s="613" t="s">
        <v>492</v>
      </c>
      <c r="I1" s="613"/>
      <c r="J1" s="613"/>
      <c r="K1" s="613"/>
    </row>
    <row r="3" spans="1:12" ht="15.75">
      <c r="A3" s="614" t="s">
        <v>493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</row>
    <row r="4" spans="1:12" ht="15.75">
      <c r="A4" s="614" t="s">
        <v>494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</row>
    <row r="6" spans="1:12" ht="33" customHeight="1">
      <c r="A6" s="616" t="s">
        <v>1</v>
      </c>
      <c r="B6" s="616" t="s">
        <v>495</v>
      </c>
      <c r="C6" s="616" t="s">
        <v>457</v>
      </c>
      <c r="D6" s="616" t="s">
        <v>496</v>
      </c>
      <c r="E6" s="616" t="s">
        <v>497</v>
      </c>
      <c r="F6" s="616" t="s">
        <v>498</v>
      </c>
      <c r="G6" s="616" t="s">
        <v>499</v>
      </c>
      <c r="H6" s="616" t="s">
        <v>500</v>
      </c>
      <c r="I6" s="616" t="s">
        <v>500</v>
      </c>
      <c r="J6" s="616" t="s">
        <v>501</v>
      </c>
      <c r="K6" s="616" t="s">
        <v>502</v>
      </c>
    </row>
    <row r="7" spans="1:12" ht="61.5" customHeight="1">
      <c r="A7" s="616"/>
      <c r="B7" s="616"/>
      <c r="C7" s="616"/>
      <c r="D7" s="616"/>
      <c r="E7" s="616"/>
      <c r="F7" s="616"/>
      <c r="G7" s="616"/>
      <c r="H7" s="616"/>
      <c r="I7" s="616"/>
      <c r="J7" s="616"/>
      <c r="K7" s="616"/>
    </row>
    <row r="8" spans="1:12" ht="14.25" customHeight="1">
      <c r="A8" s="615" t="s">
        <v>503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</row>
    <row r="9" spans="1:12" ht="28.5">
      <c r="A9" s="256" t="s">
        <v>14</v>
      </c>
      <c r="B9" s="241">
        <v>31272</v>
      </c>
      <c r="C9" s="249" t="s">
        <v>504</v>
      </c>
      <c r="D9" s="242" t="s">
        <v>505</v>
      </c>
      <c r="E9" s="242">
        <v>318.99</v>
      </c>
      <c r="F9" s="242" t="s">
        <v>506</v>
      </c>
      <c r="G9" s="242" t="s">
        <v>506</v>
      </c>
      <c r="H9" s="242" t="s">
        <v>507</v>
      </c>
      <c r="I9" s="242" t="s">
        <v>506</v>
      </c>
      <c r="J9" s="246">
        <v>1</v>
      </c>
      <c r="K9" s="249" t="s">
        <v>508</v>
      </c>
    </row>
    <row r="10" spans="1:12" ht="42.75">
      <c r="A10" s="256" t="s">
        <v>22</v>
      </c>
      <c r="B10" s="241">
        <v>30775</v>
      </c>
      <c r="C10" s="249" t="s">
        <v>509</v>
      </c>
      <c r="D10" s="242" t="s">
        <v>510</v>
      </c>
      <c r="E10" s="242">
        <v>4226.62</v>
      </c>
      <c r="F10" s="242" t="s">
        <v>506</v>
      </c>
      <c r="G10" s="242" t="s">
        <v>506</v>
      </c>
      <c r="H10" s="242" t="s">
        <v>507</v>
      </c>
      <c r="I10" s="242" t="s">
        <v>506</v>
      </c>
      <c r="J10" s="246">
        <v>1</v>
      </c>
      <c r="K10" s="249" t="s">
        <v>508</v>
      </c>
    </row>
    <row r="11" spans="1:12" ht="42.75">
      <c r="A11" s="256" t="s">
        <v>315</v>
      </c>
      <c r="B11" s="241">
        <v>30363</v>
      </c>
      <c r="C11" s="249" t="s">
        <v>511</v>
      </c>
      <c r="D11" s="242" t="s">
        <v>512</v>
      </c>
      <c r="E11" s="242">
        <v>595.73</v>
      </c>
      <c r="F11" s="242" t="s">
        <v>506</v>
      </c>
      <c r="G11" s="242" t="s">
        <v>506</v>
      </c>
      <c r="H11" s="242" t="s">
        <v>513</v>
      </c>
      <c r="I11" s="242" t="s">
        <v>514</v>
      </c>
      <c r="J11" s="246">
        <v>1</v>
      </c>
      <c r="K11" s="249" t="s">
        <v>515</v>
      </c>
    </row>
    <row r="12" spans="1:12" ht="42.75">
      <c r="A12" s="256" t="s">
        <v>316</v>
      </c>
      <c r="B12" s="241">
        <v>30258</v>
      </c>
      <c r="C12" s="249" t="s">
        <v>516</v>
      </c>
      <c r="D12" s="242" t="s">
        <v>517</v>
      </c>
      <c r="E12" s="242">
        <v>5628.54</v>
      </c>
      <c r="F12" s="242" t="s">
        <v>518</v>
      </c>
      <c r="G12" s="242" t="s">
        <v>518</v>
      </c>
      <c r="H12" s="242" t="s">
        <v>519</v>
      </c>
      <c r="I12" s="242" t="s">
        <v>520</v>
      </c>
      <c r="J12" s="246">
        <v>1</v>
      </c>
      <c r="K12" s="249" t="s">
        <v>521</v>
      </c>
    </row>
    <row r="13" spans="1:12" ht="42.75">
      <c r="A13" s="256" t="s">
        <v>522</v>
      </c>
      <c r="B13" s="241">
        <v>30342</v>
      </c>
      <c r="C13" s="249" t="s">
        <v>523</v>
      </c>
      <c r="D13" s="242" t="s">
        <v>524</v>
      </c>
      <c r="E13" s="242">
        <f>3862.8+1824.8</f>
        <v>5687.6</v>
      </c>
      <c r="F13" s="242" t="s">
        <v>518</v>
      </c>
      <c r="G13" s="242" t="s">
        <v>518</v>
      </c>
      <c r="H13" s="242" t="s">
        <v>506</v>
      </c>
      <c r="I13" s="242" t="s">
        <v>506</v>
      </c>
      <c r="J13" s="246">
        <v>1</v>
      </c>
      <c r="K13" s="249" t="s">
        <v>508</v>
      </c>
    </row>
    <row r="14" spans="1:12" ht="42.75">
      <c r="A14" s="256" t="s">
        <v>525</v>
      </c>
      <c r="B14" s="241">
        <v>10072</v>
      </c>
      <c r="C14" s="249" t="s">
        <v>526</v>
      </c>
      <c r="D14" s="242" t="s">
        <v>527</v>
      </c>
      <c r="E14" s="258">
        <v>152.22999999999999</v>
      </c>
      <c r="F14" s="242" t="s">
        <v>514</v>
      </c>
      <c r="G14" s="242" t="s">
        <v>514</v>
      </c>
      <c r="H14" s="242" t="s">
        <v>514</v>
      </c>
      <c r="I14" s="242" t="s">
        <v>514</v>
      </c>
      <c r="J14" s="246">
        <v>1</v>
      </c>
      <c r="K14" s="249" t="s">
        <v>508</v>
      </c>
    </row>
    <row r="15" spans="1:12" ht="42.75">
      <c r="A15" s="256" t="s">
        <v>528</v>
      </c>
      <c r="B15" s="241">
        <v>10071</v>
      </c>
      <c r="C15" s="249" t="s">
        <v>529</v>
      </c>
      <c r="D15" s="242" t="s">
        <v>527</v>
      </c>
      <c r="E15" s="258">
        <v>162.94</v>
      </c>
      <c r="F15" s="242" t="s">
        <v>514</v>
      </c>
      <c r="G15" s="242" t="s">
        <v>514</v>
      </c>
      <c r="H15" s="242" t="s">
        <v>514</v>
      </c>
      <c r="I15" s="242" t="s">
        <v>514</v>
      </c>
      <c r="J15" s="246">
        <v>1</v>
      </c>
      <c r="K15" s="249" t="s">
        <v>508</v>
      </c>
      <c r="L15" s="263"/>
    </row>
    <row r="16" spans="1:12" ht="42.75">
      <c r="A16" s="256" t="s">
        <v>530</v>
      </c>
      <c r="B16" s="241">
        <v>10052</v>
      </c>
      <c r="C16" s="249" t="s">
        <v>531</v>
      </c>
      <c r="D16" s="242" t="s">
        <v>527</v>
      </c>
      <c r="E16" s="258">
        <v>164.57</v>
      </c>
      <c r="F16" s="242" t="s">
        <v>514</v>
      </c>
      <c r="G16" s="242" t="s">
        <v>514</v>
      </c>
      <c r="H16" s="242" t="s">
        <v>514</v>
      </c>
      <c r="I16" s="242" t="s">
        <v>514</v>
      </c>
      <c r="J16" s="246">
        <v>1</v>
      </c>
      <c r="K16" s="249" t="s">
        <v>508</v>
      </c>
    </row>
    <row r="17" spans="1:11" ht="42.75">
      <c r="A17" s="256" t="s">
        <v>532</v>
      </c>
      <c r="B17" s="241">
        <v>10052</v>
      </c>
      <c r="C17" s="249" t="s">
        <v>533</v>
      </c>
      <c r="D17" s="242" t="s">
        <v>527</v>
      </c>
      <c r="E17" s="258">
        <v>151.41</v>
      </c>
      <c r="F17" s="242" t="s">
        <v>514</v>
      </c>
      <c r="G17" s="242" t="s">
        <v>514</v>
      </c>
      <c r="H17" s="242" t="s">
        <v>514</v>
      </c>
      <c r="I17" s="242" t="s">
        <v>514</v>
      </c>
      <c r="J17" s="246">
        <v>1</v>
      </c>
      <c r="K17" s="249" t="s">
        <v>508</v>
      </c>
    </row>
    <row r="18" spans="1:11" ht="42.75">
      <c r="A18" s="256" t="s">
        <v>534</v>
      </c>
      <c r="B18" s="241">
        <v>10010</v>
      </c>
      <c r="C18" s="249" t="s">
        <v>535</v>
      </c>
      <c r="D18" s="242" t="s">
        <v>536</v>
      </c>
      <c r="E18" s="242">
        <v>211.86</v>
      </c>
      <c r="F18" s="242" t="s">
        <v>514</v>
      </c>
      <c r="G18" s="242" t="s">
        <v>514</v>
      </c>
      <c r="H18" s="242" t="s">
        <v>507</v>
      </c>
      <c r="I18" s="242" t="s">
        <v>506</v>
      </c>
      <c r="J18" s="246">
        <v>1</v>
      </c>
      <c r="K18" s="249" t="s">
        <v>508</v>
      </c>
    </row>
    <row r="19" spans="1:11" ht="57">
      <c r="A19" s="256" t="s">
        <v>537</v>
      </c>
      <c r="B19" s="241" t="s">
        <v>538</v>
      </c>
      <c r="C19" s="251" t="s">
        <v>539</v>
      </c>
      <c r="D19" s="242" t="s">
        <v>540</v>
      </c>
      <c r="E19" s="242">
        <v>656.56</v>
      </c>
      <c r="F19" s="242" t="s">
        <v>506</v>
      </c>
      <c r="G19" s="242" t="s">
        <v>506</v>
      </c>
      <c r="H19" s="242" t="s">
        <v>507</v>
      </c>
      <c r="I19" s="242" t="s">
        <v>506</v>
      </c>
      <c r="J19" s="246">
        <v>1</v>
      </c>
      <c r="K19" s="249" t="s">
        <v>508</v>
      </c>
    </row>
    <row r="20" spans="1:11" ht="42.75">
      <c r="A20" s="256" t="s">
        <v>541</v>
      </c>
      <c r="B20" s="259">
        <v>30462</v>
      </c>
      <c r="C20" s="251" t="s">
        <v>542</v>
      </c>
      <c r="D20" s="242" t="s">
        <v>543</v>
      </c>
      <c r="E20" s="260">
        <v>373.9</v>
      </c>
      <c r="F20" s="242" t="s">
        <v>506</v>
      </c>
      <c r="G20" s="242" t="s">
        <v>506</v>
      </c>
      <c r="H20" s="242"/>
      <c r="I20" s="242" t="s">
        <v>506</v>
      </c>
      <c r="J20" s="246">
        <v>1</v>
      </c>
      <c r="K20" s="249" t="s">
        <v>544</v>
      </c>
    </row>
    <row r="21" spans="1:11" ht="14.25" customHeight="1">
      <c r="A21" s="615" t="s">
        <v>545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</row>
    <row r="22" spans="1:11" ht="85.5">
      <c r="A22" s="256" t="s">
        <v>30</v>
      </c>
      <c r="B22" s="241">
        <v>35697</v>
      </c>
      <c r="C22" s="249" t="s">
        <v>546</v>
      </c>
      <c r="D22" s="242" t="s">
        <v>547</v>
      </c>
      <c r="E22" s="242">
        <v>4401.12</v>
      </c>
      <c r="F22" s="242" t="s">
        <v>506</v>
      </c>
      <c r="G22" s="242" t="s">
        <v>506</v>
      </c>
      <c r="H22" s="242" t="s">
        <v>507</v>
      </c>
      <c r="I22" s="242" t="s">
        <v>506</v>
      </c>
      <c r="J22" s="246">
        <v>1</v>
      </c>
      <c r="K22" s="249" t="s">
        <v>548</v>
      </c>
    </row>
    <row r="23" spans="1:11" ht="71.25">
      <c r="A23" s="256" t="s">
        <v>121</v>
      </c>
      <c r="B23" s="241">
        <v>29008</v>
      </c>
      <c r="C23" s="249" t="s">
        <v>549</v>
      </c>
      <c r="D23" s="242" t="s">
        <v>550</v>
      </c>
      <c r="E23" s="242">
        <v>574.28</v>
      </c>
      <c r="F23" s="261" t="s">
        <v>514</v>
      </c>
      <c r="G23" s="261" t="s">
        <v>514</v>
      </c>
      <c r="H23" s="261" t="s">
        <v>514</v>
      </c>
      <c r="I23" s="261" t="s">
        <v>514</v>
      </c>
      <c r="J23" s="246">
        <v>1</v>
      </c>
      <c r="K23" s="249" t="s">
        <v>551</v>
      </c>
    </row>
    <row r="24" spans="1:11" ht="57">
      <c r="A24" s="256" t="s">
        <v>123</v>
      </c>
      <c r="B24" s="241">
        <v>20071</v>
      </c>
      <c r="C24" s="249" t="s">
        <v>552</v>
      </c>
      <c r="D24" s="242" t="s">
        <v>553</v>
      </c>
      <c r="E24" s="242">
        <v>232.05</v>
      </c>
      <c r="F24" s="261" t="s">
        <v>514</v>
      </c>
      <c r="G24" s="261" t="s">
        <v>514</v>
      </c>
      <c r="H24" s="261" t="s">
        <v>514</v>
      </c>
      <c r="I24" s="261" t="s">
        <v>514</v>
      </c>
      <c r="J24" s="246">
        <v>1</v>
      </c>
      <c r="K24" s="249" t="s">
        <v>554</v>
      </c>
    </row>
    <row r="25" spans="1:11">
      <c r="A25" s="247"/>
      <c r="B25" s="247"/>
      <c r="C25" s="262"/>
      <c r="D25" s="245"/>
      <c r="E25" s="247"/>
      <c r="F25" s="245"/>
      <c r="G25" s="262"/>
      <c r="H25" s="262"/>
      <c r="I25" s="262"/>
      <c r="J25" s="264"/>
      <c r="K25" s="262"/>
    </row>
    <row r="26" spans="1:1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38"/>
    </row>
    <row r="28" spans="1:11">
      <c r="A28" s="244"/>
      <c r="B28" s="245"/>
      <c r="C28" s="245" t="s">
        <v>312</v>
      </c>
      <c r="D28" s="245"/>
      <c r="E28" s="245"/>
      <c r="F28" s="245"/>
      <c r="G28" s="245"/>
      <c r="H28" s="245"/>
      <c r="I28" s="245"/>
      <c r="J28" s="245"/>
      <c r="K28" s="238" t="s">
        <v>555</v>
      </c>
    </row>
  </sheetData>
  <mergeCells count="16">
    <mergeCell ref="H1:K1"/>
    <mergeCell ref="A3:K3"/>
    <mergeCell ref="A4:K4"/>
    <mergeCell ref="A8:K8"/>
    <mergeCell ref="A21:K21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70763888888888904" right="0.70763888888888904" top="0.74791666666666701" bottom="0.74791666666666701" header="0.51041666666666696" footer="0.51041666666666696"/>
  <pageSetup paperSize="9" scale="58" firstPageNumber="0" fitToHeight="0" orientation="landscape" useFirstPageNumber="1" horizontalDpi="300" verticalDpi="300" r:id="rId1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view="pageBreakPreview" zoomScaleNormal="100" zoomScaleSheetLayoutView="100" workbookViewId="0"/>
  </sheetViews>
  <sheetFormatPr defaultColWidth="9" defaultRowHeight="15"/>
  <cols>
    <col min="1" max="1" width="6.28515625" style="237" customWidth="1"/>
    <col min="2" max="2" width="16" style="237" customWidth="1"/>
    <col min="3" max="3" width="36.85546875" style="237" customWidth="1"/>
    <col min="4" max="4" width="21.5703125" style="237" customWidth="1"/>
    <col min="5" max="5" width="17.85546875" style="237" customWidth="1"/>
    <col min="6" max="6" width="20" style="237" customWidth="1"/>
    <col min="7" max="7" width="28.7109375" style="237" customWidth="1"/>
    <col min="8" max="8" width="12.85546875" style="237" customWidth="1"/>
    <col min="9" max="9" width="62.5703125" style="247" customWidth="1"/>
    <col min="10" max="10" width="51.7109375" style="237" customWidth="1"/>
    <col min="11" max="1025" width="9" style="237" customWidth="1"/>
  </cols>
  <sheetData>
    <row r="1" spans="1:9" ht="14.25" customHeight="1">
      <c r="H1" s="613" t="s">
        <v>556</v>
      </c>
      <c r="I1" s="613"/>
    </row>
    <row r="3" spans="1:9" ht="45" customHeight="1">
      <c r="A3" s="617" t="s">
        <v>557</v>
      </c>
      <c r="B3" s="617"/>
      <c r="C3" s="617"/>
      <c r="D3" s="617"/>
      <c r="E3" s="617"/>
      <c r="F3" s="617"/>
      <c r="G3" s="617"/>
      <c r="H3" s="617"/>
      <c r="I3" s="617"/>
    </row>
    <row r="4" spans="1:9" ht="15.75">
      <c r="A4" s="614" t="s">
        <v>494</v>
      </c>
      <c r="B4" s="614"/>
      <c r="C4" s="614"/>
      <c r="D4" s="614"/>
      <c r="E4" s="614"/>
      <c r="F4" s="614"/>
      <c r="G4" s="614"/>
      <c r="H4" s="614"/>
      <c r="I4" s="614"/>
    </row>
    <row r="6" spans="1:9" ht="71.25">
      <c r="A6" s="248" t="s">
        <v>1</v>
      </c>
      <c r="B6" s="248" t="s">
        <v>495</v>
      </c>
      <c r="C6" s="248" t="s">
        <v>457</v>
      </c>
      <c r="D6" s="248" t="s">
        <v>496</v>
      </c>
      <c r="E6" s="248" t="s">
        <v>558</v>
      </c>
      <c r="F6" s="248" t="s">
        <v>559</v>
      </c>
      <c r="G6" s="248" t="s">
        <v>560</v>
      </c>
      <c r="H6" s="248" t="s">
        <v>501</v>
      </c>
      <c r="I6" s="248" t="s">
        <v>502</v>
      </c>
    </row>
    <row r="7" spans="1:9" ht="14.25" customHeight="1">
      <c r="A7" s="615" t="s">
        <v>503</v>
      </c>
      <c r="B7" s="615"/>
      <c r="C7" s="615"/>
      <c r="D7" s="615"/>
      <c r="E7" s="615"/>
      <c r="F7" s="615"/>
      <c r="G7" s="615"/>
      <c r="H7" s="615"/>
      <c r="I7" s="615"/>
    </row>
    <row r="8" spans="1:9" ht="57">
      <c r="A8" s="242" t="s">
        <v>561</v>
      </c>
      <c r="B8" s="241" t="s">
        <v>562</v>
      </c>
      <c r="C8" s="249" t="s">
        <v>563</v>
      </c>
      <c r="D8" s="242"/>
      <c r="E8" s="243">
        <v>3285</v>
      </c>
      <c r="F8" s="242" t="s">
        <v>564</v>
      </c>
      <c r="G8" s="242" t="s">
        <v>565</v>
      </c>
      <c r="H8" s="246">
        <v>0</v>
      </c>
      <c r="I8" s="250" t="s">
        <v>566</v>
      </c>
    </row>
    <row r="9" spans="1:9" ht="71.25">
      <c r="A9" s="242" t="s">
        <v>567</v>
      </c>
      <c r="B9" s="241">
        <v>10062</v>
      </c>
      <c r="C9" s="249" t="s">
        <v>568</v>
      </c>
      <c r="D9" s="242"/>
      <c r="E9" s="243">
        <v>2553</v>
      </c>
      <c r="F9" s="242" t="s">
        <v>569</v>
      </c>
      <c r="G9" s="242" t="s">
        <v>570</v>
      </c>
      <c r="H9" s="246">
        <v>1</v>
      </c>
      <c r="I9" s="250" t="s">
        <v>571</v>
      </c>
    </row>
    <row r="10" spans="1:9" ht="85.5">
      <c r="A10" s="242" t="s">
        <v>572</v>
      </c>
      <c r="B10" s="241">
        <v>10047</v>
      </c>
      <c r="C10" s="249" t="s">
        <v>573</v>
      </c>
      <c r="D10" s="242"/>
      <c r="E10" s="243">
        <v>2876</v>
      </c>
      <c r="F10" s="242" t="s">
        <v>569</v>
      </c>
      <c r="G10" s="242" t="s">
        <v>574</v>
      </c>
      <c r="H10" s="246">
        <v>0</v>
      </c>
      <c r="I10" s="254" t="s">
        <v>575</v>
      </c>
    </row>
    <row r="11" spans="1:9" s="238" customFormat="1" ht="42.75">
      <c r="A11" s="250" t="s">
        <v>576</v>
      </c>
      <c r="B11" s="250">
        <v>10045</v>
      </c>
      <c r="C11" s="251" t="s">
        <v>577</v>
      </c>
      <c r="D11" s="242" t="s">
        <v>578</v>
      </c>
      <c r="E11" s="242">
        <v>391</v>
      </c>
      <c r="F11" s="242" t="s">
        <v>579</v>
      </c>
      <c r="G11" s="242" t="s">
        <v>579</v>
      </c>
      <c r="H11" s="246">
        <v>1</v>
      </c>
      <c r="I11" s="251" t="s">
        <v>580</v>
      </c>
    </row>
    <row r="12" spans="1:9" ht="42.75">
      <c r="A12" s="242" t="s">
        <v>581</v>
      </c>
      <c r="B12" s="241">
        <v>10061</v>
      </c>
      <c r="C12" s="249" t="s">
        <v>582</v>
      </c>
      <c r="D12" s="242" t="s">
        <v>578</v>
      </c>
      <c r="E12" s="242">
        <v>449</v>
      </c>
      <c r="F12" s="242" t="s">
        <v>579</v>
      </c>
      <c r="G12" s="242" t="s">
        <v>579</v>
      </c>
      <c r="H12" s="246">
        <v>1</v>
      </c>
      <c r="I12" s="251" t="s">
        <v>580</v>
      </c>
    </row>
    <row r="13" spans="1:9" ht="57">
      <c r="A13" s="240" t="s">
        <v>525</v>
      </c>
      <c r="B13" s="241" t="s">
        <v>562</v>
      </c>
      <c r="C13" s="241" t="s">
        <v>583</v>
      </c>
      <c r="D13" s="242"/>
      <c r="E13" s="242">
        <v>0</v>
      </c>
      <c r="F13" s="242" t="s">
        <v>584</v>
      </c>
      <c r="G13" s="242" t="s">
        <v>276</v>
      </c>
      <c r="H13" s="246">
        <v>1</v>
      </c>
      <c r="I13" s="251" t="s">
        <v>585</v>
      </c>
    </row>
    <row r="14" spans="1:9" ht="14.25" customHeight="1">
      <c r="A14" s="618" t="s">
        <v>545</v>
      </c>
      <c r="B14" s="618"/>
      <c r="C14" s="618"/>
      <c r="D14" s="618"/>
      <c r="E14" s="618"/>
      <c r="F14" s="618"/>
      <c r="G14" s="618"/>
      <c r="H14" s="618"/>
      <c r="I14" s="618"/>
    </row>
    <row r="15" spans="1:9" ht="28.5">
      <c r="A15" s="242" t="s">
        <v>586</v>
      </c>
      <c r="B15" s="241">
        <v>10085</v>
      </c>
      <c r="C15" s="249" t="s">
        <v>587</v>
      </c>
      <c r="D15" s="242" t="s">
        <v>588</v>
      </c>
      <c r="E15" s="252">
        <v>1200</v>
      </c>
      <c r="F15" s="242" t="s">
        <v>589</v>
      </c>
      <c r="G15" s="242" t="s">
        <v>590</v>
      </c>
      <c r="H15" s="246">
        <v>1</v>
      </c>
      <c r="I15" s="251" t="s">
        <v>591</v>
      </c>
    </row>
    <row r="16" spans="1:9" ht="228">
      <c r="A16" s="242" t="s">
        <v>592</v>
      </c>
      <c r="B16" s="241">
        <v>10088</v>
      </c>
      <c r="C16" s="249" t="s">
        <v>593</v>
      </c>
      <c r="D16" s="242"/>
      <c r="E16" s="252">
        <v>6148</v>
      </c>
      <c r="F16" s="242" t="s">
        <v>277</v>
      </c>
      <c r="G16" s="242" t="s">
        <v>277</v>
      </c>
      <c r="H16" s="246">
        <v>0</v>
      </c>
      <c r="I16" s="255" t="s">
        <v>594</v>
      </c>
    </row>
    <row r="17" spans="1:10" ht="57.75">
      <c r="A17" s="240" t="s">
        <v>123</v>
      </c>
      <c r="B17" s="241" t="s">
        <v>562</v>
      </c>
      <c r="C17" s="241" t="s">
        <v>595</v>
      </c>
      <c r="D17" s="253"/>
      <c r="E17" s="242">
        <v>0</v>
      </c>
      <c r="F17" s="242" t="s">
        <v>276</v>
      </c>
      <c r="G17" s="242" t="s">
        <v>276</v>
      </c>
      <c r="H17" s="246">
        <v>1</v>
      </c>
      <c r="I17" s="256" t="s">
        <v>596</v>
      </c>
    </row>
    <row r="19" spans="1:10">
      <c r="A19" s="244"/>
      <c r="B19" s="245"/>
      <c r="C19" s="245" t="s">
        <v>312</v>
      </c>
      <c r="D19" s="245"/>
      <c r="E19" s="245"/>
      <c r="F19" s="245"/>
      <c r="G19" s="245"/>
      <c r="H19" s="245"/>
      <c r="I19" s="257" t="s">
        <v>555</v>
      </c>
      <c r="J19" s="238"/>
    </row>
  </sheetData>
  <mergeCells count="5">
    <mergeCell ref="H1:I1"/>
    <mergeCell ref="A3:I3"/>
    <mergeCell ref="A4:I4"/>
    <mergeCell ref="A7:I7"/>
    <mergeCell ref="A14:I14"/>
  </mergeCells>
  <pageMargins left="0.70763888888888904" right="0.70763888888888904" top="0.74791666666666701" bottom="0.74791666666666701" header="0.51041666666666696" footer="0.51041666666666696"/>
  <pageSetup paperSize="9" scale="58" firstPageNumber="0" fitToHeight="0" orientation="landscape" useFirstPageNumber="1" horizontalDpi="300" verticalDpi="300" r:id="rId1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"/>
  <sheetViews>
    <sheetView view="pageBreakPreview" zoomScaleNormal="100" zoomScaleSheetLayoutView="100" workbookViewId="0"/>
  </sheetViews>
  <sheetFormatPr defaultColWidth="9" defaultRowHeight="15"/>
  <cols>
    <col min="1" max="1" width="6.28515625" style="237" customWidth="1"/>
    <col min="2" max="2" width="36.85546875" style="237" customWidth="1"/>
    <col min="3" max="3" width="21.5703125" style="237" customWidth="1"/>
    <col min="4" max="4" width="20.7109375" style="238" customWidth="1"/>
    <col min="5" max="5" width="26.140625" style="238" customWidth="1"/>
    <col min="6" max="10" width="15.7109375" style="237" customWidth="1"/>
    <col min="11" max="1025" width="9.140625" style="237" customWidth="1"/>
  </cols>
  <sheetData>
    <row r="1" spans="1:10" ht="14.25" customHeight="1">
      <c r="E1" s="613" t="s">
        <v>597</v>
      </c>
      <c r="F1" s="613"/>
      <c r="G1" s="613"/>
      <c r="H1" s="613"/>
      <c r="I1" s="613"/>
      <c r="J1" s="613"/>
    </row>
    <row r="3" spans="1:10" ht="15" customHeight="1">
      <c r="A3" s="617" t="s">
        <v>598</v>
      </c>
      <c r="B3" s="617"/>
      <c r="C3" s="617"/>
      <c r="D3" s="617"/>
      <c r="E3" s="617"/>
      <c r="F3" s="617"/>
      <c r="G3" s="617"/>
      <c r="H3" s="617"/>
      <c r="I3" s="617"/>
      <c r="J3" s="617"/>
    </row>
    <row r="4" spans="1:10" ht="15" customHeight="1">
      <c r="A4" s="614" t="s">
        <v>494</v>
      </c>
      <c r="B4" s="614"/>
      <c r="C4" s="614"/>
      <c r="D4" s="614"/>
      <c r="E4" s="614"/>
      <c r="F4" s="614"/>
      <c r="G4" s="614"/>
      <c r="H4" s="614"/>
      <c r="I4" s="614"/>
      <c r="J4" s="614"/>
    </row>
    <row r="6" spans="1:10" ht="14.25" customHeight="1">
      <c r="A6" s="616" t="s">
        <v>1</v>
      </c>
      <c r="B6" s="616" t="s">
        <v>599</v>
      </c>
      <c r="C6" s="616" t="s">
        <v>600</v>
      </c>
      <c r="D6" s="616" t="s">
        <v>601</v>
      </c>
      <c r="E6" s="616" t="s">
        <v>602</v>
      </c>
      <c r="F6" s="616" t="s">
        <v>603</v>
      </c>
      <c r="G6" s="616"/>
      <c r="H6" s="616" t="s">
        <v>604</v>
      </c>
      <c r="I6" s="616"/>
      <c r="J6" s="616" t="s">
        <v>280</v>
      </c>
    </row>
    <row r="7" spans="1:10" ht="104.25" customHeight="1">
      <c r="A7" s="616"/>
      <c r="B7" s="616"/>
      <c r="C7" s="616"/>
      <c r="D7" s="616"/>
      <c r="E7" s="616"/>
      <c r="F7" s="239" t="s">
        <v>605</v>
      </c>
      <c r="G7" s="239" t="s">
        <v>606</v>
      </c>
      <c r="H7" s="239" t="s">
        <v>607</v>
      </c>
      <c r="I7" s="239" t="s">
        <v>608</v>
      </c>
      <c r="J7" s="616"/>
    </row>
    <row r="8" spans="1:10" ht="14.25" customHeight="1">
      <c r="A8" s="615" t="s">
        <v>609</v>
      </c>
      <c r="B8" s="615"/>
      <c r="C8" s="615"/>
      <c r="D8" s="615"/>
      <c r="E8" s="615"/>
      <c r="F8" s="615"/>
      <c r="G8" s="615"/>
      <c r="H8" s="615"/>
      <c r="I8" s="615"/>
      <c r="J8" s="615"/>
    </row>
    <row r="9" spans="1:10" ht="71.25">
      <c r="A9" s="240" t="s">
        <v>561</v>
      </c>
      <c r="B9" s="241" t="s">
        <v>610</v>
      </c>
      <c r="C9" s="241" t="s">
        <v>611</v>
      </c>
      <c r="D9" s="241" t="s">
        <v>612</v>
      </c>
      <c r="E9" s="241" t="s">
        <v>613</v>
      </c>
      <c r="F9" s="242" t="s">
        <v>614</v>
      </c>
      <c r="G9" s="242" t="s">
        <v>615</v>
      </c>
      <c r="H9" s="243">
        <v>3285</v>
      </c>
      <c r="I9" s="243">
        <v>6.4649999999999999</v>
      </c>
      <c r="J9" s="246">
        <f>IF(H9=0," ",I9/H9)</f>
        <v>1.9680365296803654E-3</v>
      </c>
    </row>
    <row r="10" spans="1:10" ht="123" customHeight="1">
      <c r="A10" s="240" t="s">
        <v>567</v>
      </c>
      <c r="B10" s="241" t="s">
        <v>616</v>
      </c>
      <c r="C10" s="241">
        <v>10062</v>
      </c>
      <c r="D10" s="241" t="s">
        <v>617</v>
      </c>
      <c r="E10" s="241" t="s">
        <v>618</v>
      </c>
      <c r="F10" s="242" t="s">
        <v>619</v>
      </c>
      <c r="G10" s="242" t="s">
        <v>620</v>
      </c>
      <c r="H10" s="243">
        <v>2553</v>
      </c>
      <c r="I10" s="243">
        <v>590</v>
      </c>
      <c r="J10" s="246">
        <v>1</v>
      </c>
    </row>
    <row r="11" spans="1:10" ht="71.25">
      <c r="A11" s="240" t="s">
        <v>315</v>
      </c>
      <c r="B11" s="241" t="s">
        <v>621</v>
      </c>
      <c r="C11" s="241">
        <v>10047</v>
      </c>
      <c r="D11" s="241" t="s">
        <v>617</v>
      </c>
      <c r="E11" s="241" t="s">
        <v>622</v>
      </c>
      <c r="F11" s="242" t="s">
        <v>614</v>
      </c>
      <c r="G11" s="242" t="s">
        <v>623</v>
      </c>
      <c r="H11" s="243">
        <v>2876</v>
      </c>
      <c r="I11" s="243">
        <v>0</v>
      </c>
      <c r="J11" s="246">
        <f>IF(H11=0," ",I11/H11)</f>
        <v>0</v>
      </c>
    </row>
    <row r="12" spans="1:10" ht="71.25">
      <c r="A12" s="240" t="s">
        <v>316</v>
      </c>
      <c r="B12" s="241" t="s">
        <v>624</v>
      </c>
      <c r="C12" s="241">
        <v>10045</v>
      </c>
      <c r="D12" s="241" t="s">
        <v>617</v>
      </c>
      <c r="E12" s="241" t="s">
        <v>625</v>
      </c>
      <c r="F12" s="242" t="s">
        <v>626</v>
      </c>
      <c r="G12" s="242" t="s">
        <v>626</v>
      </c>
      <c r="H12" s="243">
        <v>391</v>
      </c>
      <c r="I12" s="243">
        <v>627.89450999999997</v>
      </c>
      <c r="J12" s="246">
        <v>1</v>
      </c>
    </row>
    <row r="13" spans="1:10" ht="85.5">
      <c r="A13" s="240" t="s">
        <v>522</v>
      </c>
      <c r="B13" s="241" t="s">
        <v>627</v>
      </c>
      <c r="C13" s="241">
        <v>10061</v>
      </c>
      <c r="D13" s="241" t="s">
        <v>628</v>
      </c>
      <c r="E13" s="241" t="s">
        <v>629</v>
      </c>
      <c r="F13" s="242" t="s">
        <v>630</v>
      </c>
      <c r="G13" s="242" t="s">
        <v>630</v>
      </c>
      <c r="H13" s="243">
        <v>449</v>
      </c>
      <c r="I13" s="243">
        <v>633.70890999999995</v>
      </c>
      <c r="J13" s="246">
        <v>1</v>
      </c>
    </row>
    <row r="14" spans="1:10" ht="85.5">
      <c r="A14" s="240" t="s">
        <v>525</v>
      </c>
      <c r="B14" s="241" t="s">
        <v>583</v>
      </c>
      <c r="C14" s="241" t="s">
        <v>611</v>
      </c>
      <c r="D14" s="241" t="s">
        <v>612</v>
      </c>
      <c r="E14" s="241" t="s">
        <v>631</v>
      </c>
      <c r="F14" s="242" t="s">
        <v>276</v>
      </c>
      <c r="G14" s="242" t="s">
        <v>276</v>
      </c>
      <c r="H14" s="243">
        <v>0</v>
      </c>
      <c r="I14" s="243">
        <v>7049.7158399999998</v>
      </c>
      <c r="J14" s="246">
        <v>1</v>
      </c>
    </row>
    <row r="15" spans="1:10" ht="15" customHeight="1">
      <c r="A15" s="615" t="s">
        <v>632</v>
      </c>
      <c r="B15" s="615"/>
      <c r="C15" s="615"/>
      <c r="D15" s="615"/>
      <c r="E15" s="615"/>
      <c r="F15" s="615"/>
      <c r="G15" s="615"/>
      <c r="H15" s="615"/>
      <c r="I15" s="615"/>
      <c r="J15" s="615"/>
    </row>
    <row r="16" spans="1:10" ht="71.25">
      <c r="A16" s="240" t="s">
        <v>30</v>
      </c>
      <c r="B16" s="241" t="s">
        <v>633</v>
      </c>
      <c r="C16" s="241">
        <v>10085</v>
      </c>
      <c r="D16" s="241" t="s">
        <v>617</v>
      </c>
      <c r="E16" s="241" t="s">
        <v>634</v>
      </c>
      <c r="F16" s="242" t="s">
        <v>635</v>
      </c>
      <c r="G16" s="242" t="s">
        <v>626</v>
      </c>
      <c r="H16" s="243">
        <v>1200</v>
      </c>
      <c r="I16" s="243">
        <v>971.39077999999995</v>
      </c>
      <c r="J16" s="246">
        <v>1</v>
      </c>
    </row>
    <row r="17" spans="1:10" ht="71.25">
      <c r="A17" s="240" t="s">
        <v>121</v>
      </c>
      <c r="B17" s="241" t="s">
        <v>636</v>
      </c>
      <c r="C17" s="241">
        <v>10088</v>
      </c>
      <c r="D17" s="241" t="s">
        <v>637</v>
      </c>
      <c r="E17" s="241" t="s">
        <v>593</v>
      </c>
      <c r="F17" s="242" t="s">
        <v>630</v>
      </c>
      <c r="G17" s="242" t="s">
        <v>615</v>
      </c>
      <c r="H17" s="243">
        <v>6148</v>
      </c>
      <c r="I17" s="243">
        <v>0</v>
      </c>
      <c r="J17" s="246">
        <f>IF(H17=0," ",I17/H17)</f>
        <v>0</v>
      </c>
    </row>
    <row r="18" spans="1:10" ht="85.5">
      <c r="A18" s="240" t="s">
        <v>123</v>
      </c>
      <c r="B18" s="241" t="s">
        <v>595</v>
      </c>
      <c r="C18" s="241" t="s">
        <v>611</v>
      </c>
      <c r="D18" s="241" t="s">
        <v>612</v>
      </c>
      <c r="E18" s="241" t="s">
        <v>631</v>
      </c>
      <c r="F18" s="242" t="s">
        <v>276</v>
      </c>
      <c r="G18" s="242" t="s">
        <v>276</v>
      </c>
      <c r="H18" s="243">
        <v>0</v>
      </c>
      <c r="I18" s="243">
        <v>4251.4691899999998</v>
      </c>
      <c r="J18" s="246">
        <v>1</v>
      </c>
    </row>
    <row r="21" spans="1:10">
      <c r="A21" s="244"/>
      <c r="B21" s="245" t="s">
        <v>312</v>
      </c>
      <c r="C21" s="245"/>
      <c r="D21" s="245"/>
      <c r="E21" s="245"/>
      <c r="F21" s="245"/>
      <c r="G21" s="245"/>
      <c r="H21" s="245"/>
      <c r="I21" s="245" t="s">
        <v>555</v>
      </c>
      <c r="J21" s="238"/>
    </row>
  </sheetData>
  <mergeCells count="13">
    <mergeCell ref="E1:J1"/>
    <mergeCell ref="A3:J3"/>
    <mergeCell ref="A4:J4"/>
    <mergeCell ref="F6:G6"/>
    <mergeCell ref="H6:I6"/>
    <mergeCell ref="A8:J8"/>
    <mergeCell ref="A15:J15"/>
    <mergeCell ref="A6:A7"/>
    <mergeCell ref="B6:B7"/>
    <mergeCell ref="C6:C7"/>
    <mergeCell ref="D6:D7"/>
    <mergeCell ref="E6:E7"/>
    <mergeCell ref="J6:J7"/>
  </mergeCells>
  <pageMargins left="0.70763888888888904" right="0.70763888888888904" top="0.74791666666666701" bottom="0.74791666666666701" header="0.51041666666666696" footer="0.51041666666666696"/>
  <pageSetup paperSize="9" scale="68" firstPageNumber="0" fitToHeight="0" orientation="landscape" useFirstPageNumber="1" horizontalDpi="300" verticalDpi="300" r:id="rId1"/>
  <rowBreaks count="1" manualBreakCount="1">
    <brk id="1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7"/>
  <sheetViews>
    <sheetView view="pageBreakPreview" topLeftCell="A55" zoomScaleNormal="80" zoomScaleSheetLayoutView="100" workbookViewId="0">
      <selection activeCell="B68" sqref="B68"/>
    </sheetView>
  </sheetViews>
  <sheetFormatPr defaultColWidth="9" defaultRowHeight="15" outlineLevelCol="2"/>
  <cols>
    <col min="1" max="1" width="5.5703125" style="106" customWidth="1"/>
    <col min="2" max="2" width="47.85546875" style="107" customWidth="1"/>
    <col min="3" max="3" width="12.140625" style="97" customWidth="1"/>
    <col min="4" max="4" width="14.7109375" style="97" hidden="1" customWidth="1"/>
    <col min="5" max="5" width="16.7109375" style="108" hidden="1" customWidth="1"/>
    <col min="6" max="6" width="15.42578125" style="97" hidden="1" customWidth="1"/>
    <col min="7" max="7" width="15.28515625" style="97" hidden="1" customWidth="1"/>
    <col min="8" max="8" width="15.5703125" style="97" hidden="1" customWidth="1"/>
    <col min="9" max="9" width="16.7109375" style="97" hidden="1" customWidth="1"/>
    <col min="10" max="11" width="15.140625" style="97" hidden="1" customWidth="1" outlineLevel="1"/>
    <col min="12" max="12" width="16.28515625" style="97" hidden="1" customWidth="1" collapsed="1"/>
    <col min="13" max="14" width="15.140625" style="97" hidden="1" customWidth="1" outlineLevel="1"/>
    <col min="15" max="15" width="16.7109375" style="97" customWidth="1" collapsed="1"/>
    <col min="16" max="17" width="16.7109375" style="97" hidden="1" customWidth="1" outlineLevel="2"/>
    <col min="18" max="18" width="16.7109375" style="97" customWidth="1" outlineLevel="1" collapsed="1"/>
    <col min="19" max="20" width="16.7109375" style="97" hidden="1" customWidth="1" outlineLevel="2"/>
    <col min="21" max="21" width="16.7109375" style="97" customWidth="1" outlineLevel="1" collapsed="1"/>
    <col min="22" max="23" width="16.7109375" style="97" hidden="1" customWidth="1" outlineLevel="2"/>
    <col min="24" max="24" width="16.7109375" style="97" customWidth="1" outlineLevel="1" collapsed="1"/>
    <col min="25" max="26" width="16.7109375" style="97" hidden="1" customWidth="1" outlineLevel="2"/>
    <col min="27" max="27" width="16.7109375" style="97" customWidth="1" outlineLevel="1" collapsed="1"/>
    <col min="28" max="29" width="16.7109375" style="97" hidden="1" customWidth="1" outlineLevel="2"/>
    <col min="30" max="30" width="16.7109375" style="97" customWidth="1" outlineLevel="1" collapsed="1"/>
    <col min="31" max="32" width="16.7109375" style="97" hidden="1" customWidth="1" outlineLevel="2"/>
    <col min="33" max="33" width="16.7109375" style="97" customWidth="1" outlineLevel="1" collapsed="1"/>
    <col min="34" max="35" width="16.7109375" style="97" hidden="1" customWidth="1" outlineLevel="2"/>
    <col min="36" max="36" width="16.7109375" style="97" customWidth="1" outlineLevel="1" collapsed="1"/>
    <col min="37" max="38" width="16.7109375" style="97" hidden="1" customWidth="1" outlineLevel="2"/>
    <col min="39" max="39" width="16.7109375" style="97" customWidth="1" outlineLevel="1" collapsed="1"/>
    <col min="40" max="41" width="16.7109375" style="97" hidden="1" customWidth="1" outlineLevel="2"/>
    <col min="42" max="42" width="16.7109375" style="97" customWidth="1" outlineLevel="1" collapsed="1"/>
    <col min="43" max="44" width="16.7109375" style="97" hidden="1" customWidth="1" outlineLevel="2"/>
    <col min="45" max="45" width="16.7109375" style="97" customWidth="1" outlineLevel="1" collapsed="1"/>
    <col min="46" max="47" width="16.7109375" style="97" hidden="1" customWidth="1" outlineLevel="2"/>
    <col min="48" max="48" width="16.7109375" style="97" customWidth="1" outlineLevel="1" collapsed="1"/>
    <col min="49" max="50" width="16.7109375" style="97" hidden="1" customWidth="1" outlineLevel="2"/>
    <col min="51" max="51" width="16.7109375" style="97" customWidth="1" outlineLevel="1" collapsed="1"/>
    <col min="52" max="53" width="16.7109375" style="97" hidden="1" customWidth="1" outlineLevel="2"/>
    <col min="54" max="54" width="16.7109375" style="97" customWidth="1" outlineLevel="1" collapsed="1"/>
    <col min="55" max="56" width="16.7109375" style="97" hidden="1" customWidth="1" outlineLevel="2"/>
    <col min="57" max="57" width="16.7109375" style="97" customWidth="1" outlineLevel="1" collapsed="1"/>
    <col min="58" max="59" width="16.7109375" style="97" hidden="1" customWidth="1" outlineLevel="2"/>
    <col min="60" max="60" width="16.7109375" style="97" customWidth="1" outlineLevel="1" collapsed="1"/>
    <col min="61" max="62" width="16.7109375" style="97" customWidth="1" outlineLevel="2"/>
    <col min="63" max="63" width="16.7109375" style="97" customWidth="1" outlineLevel="1"/>
    <col min="64" max="65" width="16.7109375" style="97" customWidth="1" outlineLevel="2"/>
    <col min="66" max="66" width="16.7109375" style="97" customWidth="1" outlineLevel="1"/>
    <col min="67" max="68" width="16.7109375" style="97" customWidth="1" outlineLevel="2"/>
    <col min="69" max="69" width="16.7109375" style="97" customWidth="1" outlineLevel="1"/>
    <col min="70" max="71" width="16.7109375" style="97" customWidth="1" outlineLevel="2"/>
    <col min="72" max="72" width="16.5703125" style="108" customWidth="1"/>
    <col min="73" max="73" width="16.28515625" style="97" customWidth="1"/>
    <col min="74" max="75" width="15.140625" style="97" customWidth="1"/>
    <col min="76" max="76" width="15.42578125" style="97" customWidth="1"/>
    <col min="77" max="78" width="15.140625" style="97" hidden="1" customWidth="1" outlineLevel="1"/>
    <col min="79" max="79" width="16.5703125" style="97" customWidth="1" collapsed="1"/>
    <col min="80" max="81" width="15.140625" style="97" hidden="1" customWidth="1" outlineLevel="1"/>
    <col min="82" max="82" width="15.140625" style="97" customWidth="1" collapsed="1"/>
    <col min="83" max="84" width="15.140625" style="97" hidden="1" customWidth="1" outlineLevel="2"/>
    <col min="85" max="85" width="15.140625" style="97" customWidth="1" outlineLevel="1" collapsed="1"/>
    <col min="86" max="87" width="15.140625" style="97" hidden="1" customWidth="1" outlineLevel="2"/>
    <col min="88" max="88" width="15.140625" style="97" customWidth="1" outlineLevel="1" collapsed="1"/>
    <col min="89" max="90" width="15.140625" style="97" hidden="1" customWidth="1" outlineLevel="2"/>
    <col min="91" max="91" width="15.140625" style="97" customWidth="1" outlineLevel="1" collapsed="1"/>
    <col min="92" max="93" width="15.140625" style="97" hidden="1" customWidth="1" outlineLevel="2"/>
    <col min="94" max="94" width="15.140625" style="97" customWidth="1" outlineLevel="1" collapsed="1"/>
    <col min="95" max="96" width="15.140625" style="97" hidden="1" customWidth="1" outlineLevel="2"/>
    <col min="97" max="97" width="15.140625" style="97" customWidth="1" outlineLevel="1" collapsed="1"/>
    <col min="98" max="99" width="15.140625" style="97" hidden="1" customWidth="1" outlineLevel="2"/>
    <col min="100" max="100" width="15.140625" style="97" customWidth="1" outlineLevel="1" collapsed="1"/>
    <col min="101" max="102" width="15.140625" style="97" hidden="1" customWidth="1" outlineLevel="2"/>
    <col min="103" max="103" width="15.140625" style="97" customWidth="1" outlineLevel="1" collapsed="1"/>
    <col min="104" max="105" width="15.140625" style="97" hidden="1" customWidth="1" outlineLevel="2"/>
    <col min="106" max="106" width="15.140625" style="97" customWidth="1" outlineLevel="1" collapsed="1"/>
    <col min="107" max="108" width="15.140625" style="97" hidden="1" customWidth="1" outlineLevel="2"/>
    <col min="109" max="109" width="15.140625" style="97" customWidth="1" outlineLevel="1" collapsed="1"/>
    <col min="110" max="111" width="15.140625" style="97" hidden="1" customWidth="1" outlineLevel="2"/>
    <col min="112" max="112" width="15.140625" style="97" customWidth="1" outlineLevel="1" collapsed="1"/>
    <col min="113" max="114" width="15.140625" style="97" hidden="1" customWidth="1" outlineLevel="2"/>
    <col min="115" max="115" width="15.140625" style="97" customWidth="1" outlineLevel="1" collapsed="1"/>
    <col min="116" max="117" width="15.140625" style="97" hidden="1" customWidth="1" outlineLevel="2"/>
    <col min="118" max="118" width="15.140625" style="97" customWidth="1" outlineLevel="1" collapsed="1"/>
    <col min="119" max="120" width="15.140625" style="97" hidden="1" customWidth="1" outlineLevel="2"/>
    <col min="121" max="121" width="15.140625" style="97" customWidth="1" outlineLevel="1" collapsed="1"/>
    <col min="122" max="123" width="15.140625" style="97" hidden="1" customWidth="1" outlineLevel="2"/>
    <col min="124" max="124" width="15.140625" style="97" customWidth="1" outlineLevel="1" collapsed="1"/>
    <col min="125" max="126" width="15.140625" style="97" hidden="1" customWidth="1" outlineLevel="2"/>
    <col min="127" max="127" width="15.140625" style="97" customWidth="1" outlineLevel="1" collapsed="1"/>
    <col min="128" max="129" width="15.140625" style="97" customWidth="1" outlineLevel="2"/>
    <col min="130" max="130" width="15.140625" style="97" customWidth="1" outlineLevel="1"/>
    <col min="131" max="132" width="15.140625" style="97" customWidth="1" outlineLevel="2"/>
    <col min="133" max="133" width="15.140625" style="97" customWidth="1" outlineLevel="1"/>
    <col min="134" max="135" width="15.140625" style="97" customWidth="1" outlineLevel="2"/>
    <col min="136" max="136" width="15.140625" style="97" customWidth="1" outlineLevel="1"/>
    <col min="137" max="138" width="15.140625" style="97" customWidth="1" outlineLevel="2"/>
    <col min="139" max="139" width="16.5703125" style="97" customWidth="1"/>
    <col min="140" max="140" width="15.5703125" style="97" customWidth="1"/>
    <col min="141" max="141" width="17.140625" style="97" customWidth="1"/>
    <col min="142" max="142" width="13.42578125" style="97" customWidth="1"/>
    <col min="143" max="143" width="12" style="97" customWidth="1"/>
    <col min="144" max="144" width="14.5703125" style="97" customWidth="1"/>
    <col min="145" max="145" width="9.140625" style="97" customWidth="1"/>
    <col min="146" max="146" width="14.7109375" style="97" customWidth="1"/>
    <col min="147" max="1025" width="9.140625" style="97" customWidth="1"/>
  </cols>
  <sheetData>
    <row r="1" spans="1:140">
      <c r="I1" s="144"/>
      <c r="J1" s="145"/>
      <c r="K1" s="145"/>
      <c r="L1" s="145"/>
      <c r="M1" s="145"/>
      <c r="N1" s="145"/>
      <c r="O1" s="108"/>
      <c r="R1" s="108"/>
      <c r="U1" s="108"/>
      <c r="BX1" s="144"/>
    </row>
    <row r="2" spans="1:140" s="96" customFormat="1">
      <c r="A2" s="109"/>
      <c r="B2" s="110"/>
      <c r="E2" s="111"/>
      <c r="H2" s="112"/>
      <c r="I2" s="146"/>
      <c r="J2" s="112"/>
      <c r="K2" s="112"/>
      <c r="L2" s="146"/>
      <c r="M2" s="146"/>
      <c r="N2" s="146"/>
      <c r="O2" s="147"/>
      <c r="P2" s="146"/>
      <c r="Q2" s="146"/>
      <c r="R2" s="147"/>
      <c r="S2" s="146"/>
      <c r="T2" s="146"/>
      <c r="U2" s="147"/>
      <c r="V2" s="146"/>
      <c r="W2" s="146"/>
      <c r="X2" s="112"/>
      <c r="Y2" s="146"/>
      <c r="Z2" s="146"/>
      <c r="AA2" s="112"/>
      <c r="AB2" s="146"/>
      <c r="AC2" s="146"/>
      <c r="AD2" s="112"/>
      <c r="AE2" s="146"/>
      <c r="AF2" s="146"/>
      <c r="AG2" s="112"/>
      <c r="AH2" s="146"/>
      <c r="AI2" s="146"/>
      <c r="AJ2" s="112"/>
      <c r="AK2" s="146"/>
      <c r="AL2" s="146"/>
      <c r="AM2" s="112"/>
      <c r="AN2" s="146"/>
      <c r="AO2" s="146"/>
      <c r="AP2" s="112"/>
      <c r="AQ2" s="146"/>
      <c r="AR2" s="146"/>
      <c r="AS2" s="112"/>
      <c r="AT2" s="146"/>
      <c r="AU2" s="146"/>
      <c r="AW2" s="146"/>
      <c r="AX2" s="146"/>
      <c r="AZ2" s="146"/>
      <c r="BA2" s="146"/>
      <c r="BC2" s="146"/>
      <c r="BD2" s="146"/>
      <c r="BF2" s="146"/>
      <c r="BG2" s="146"/>
      <c r="BI2" s="146"/>
      <c r="BJ2" s="146"/>
      <c r="BL2" s="146"/>
      <c r="BM2" s="146"/>
      <c r="BO2" s="146"/>
      <c r="BP2" s="146"/>
      <c r="BR2" s="146"/>
      <c r="BS2" s="146"/>
      <c r="BT2" s="111"/>
      <c r="BU2" s="161"/>
      <c r="BX2" s="148"/>
    </row>
    <row r="3" spans="1:140" s="96" customFormat="1" ht="12">
      <c r="A3" s="109"/>
      <c r="B3" s="110"/>
      <c r="E3" s="111"/>
      <c r="J3" s="112"/>
      <c r="K3" s="112"/>
      <c r="L3" s="112"/>
      <c r="M3" s="112"/>
      <c r="N3" s="112"/>
      <c r="O3" s="148"/>
      <c r="P3" s="148"/>
      <c r="Q3" s="148"/>
      <c r="R3" s="148"/>
      <c r="S3" s="148"/>
      <c r="T3" s="148"/>
      <c r="V3" s="148"/>
      <c r="W3" s="148"/>
      <c r="Y3" s="148"/>
      <c r="Z3" s="148"/>
      <c r="AB3" s="148"/>
      <c r="AC3" s="148"/>
      <c r="AE3" s="148"/>
      <c r="AF3" s="148"/>
      <c r="AH3" s="148"/>
      <c r="AI3" s="148"/>
      <c r="AK3" s="148"/>
      <c r="AL3" s="148"/>
      <c r="AN3" s="148"/>
      <c r="AO3" s="148"/>
      <c r="AQ3" s="148"/>
      <c r="AR3" s="148"/>
      <c r="AT3" s="148"/>
      <c r="AU3" s="148"/>
      <c r="AW3" s="148"/>
      <c r="AX3" s="148"/>
      <c r="AZ3" s="148"/>
      <c r="BA3" s="148"/>
      <c r="BC3" s="148"/>
      <c r="BD3" s="148"/>
      <c r="BF3" s="148"/>
      <c r="BG3" s="148"/>
      <c r="BI3" s="148"/>
      <c r="BJ3" s="148"/>
      <c r="BL3" s="148"/>
      <c r="BM3" s="148"/>
      <c r="BO3" s="148"/>
      <c r="BP3" s="148"/>
      <c r="BR3" s="148"/>
      <c r="BS3" s="148"/>
      <c r="BT3" s="111"/>
      <c r="BU3" s="148"/>
    </row>
    <row r="4" spans="1:140" ht="18.75" customHeight="1">
      <c r="H4" s="603" t="s">
        <v>318</v>
      </c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155"/>
      <c r="Z4" s="155"/>
      <c r="AB4" s="155"/>
      <c r="AC4" s="155"/>
      <c r="AE4" s="155"/>
      <c r="AF4" s="155"/>
      <c r="AH4" s="155"/>
      <c r="AI4" s="155"/>
      <c r="AK4" s="155"/>
      <c r="AL4" s="155"/>
      <c r="AN4" s="155"/>
      <c r="AO4" s="155"/>
      <c r="AQ4" s="155"/>
      <c r="AR4" s="155"/>
      <c r="AT4" s="155"/>
      <c r="AU4" s="155"/>
      <c r="AW4" s="155"/>
      <c r="AX4" s="155"/>
      <c r="AZ4" s="155"/>
      <c r="BA4" s="157"/>
      <c r="BC4" s="155"/>
      <c r="BD4" s="157"/>
      <c r="BF4" s="155"/>
      <c r="BG4" s="155"/>
      <c r="BI4" s="155"/>
      <c r="BJ4" s="155"/>
      <c r="BL4" s="155"/>
      <c r="BM4" s="155"/>
      <c r="BO4" s="155"/>
      <c r="BP4" s="155"/>
      <c r="BR4" s="155"/>
      <c r="BS4" s="155"/>
      <c r="BU4" s="108"/>
      <c r="CP4" s="162"/>
      <c r="DT4" s="152"/>
      <c r="DV4" s="152"/>
      <c r="DW4" s="152"/>
      <c r="DY4" s="152"/>
      <c r="DZ4" s="152"/>
      <c r="EB4" s="152"/>
      <c r="EC4" s="152"/>
      <c r="EE4" s="152"/>
      <c r="EF4" s="152"/>
      <c r="EH4" s="152"/>
    </row>
    <row r="5" spans="1:140">
      <c r="J5" s="144"/>
      <c r="K5" s="144"/>
      <c r="L5" s="144"/>
      <c r="M5" s="144"/>
      <c r="N5" s="144"/>
      <c r="W5" s="108"/>
      <c r="X5" s="152"/>
      <c r="AC5" s="152"/>
      <c r="AF5" s="152"/>
      <c r="AI5" s="152"/>
      <c r="AL5" s="156"/>
      <c r="AX5" s="152"/>
      <c r="BA5" s="152"/>
      <c r="BD5" s="152"/>
      <c r="BY5" s="144"/>
      <c r="BZ5" s="144"/>
      <c r="CA5" s="144"/>
      <c r="CB5" s="144"/>
      <c r="CC5" s="144"/>
      <c r="CH5" s="144"/>
      <c r="CN5" s="152"/>
      <c r="CO5" s="152"/>
      <c r="CR5" s="152"/>
      <c r="CX5" s="152"/>
      <c r="DT5" s="152"/>
      <c r="DV5" s="152"/>
      <c r="DW5" s="152"/>
      <c r="DY5" s="152"/>
      <c r="DZ5" s="152"/>
      <c r="EB5" s="152"/>
      <c r="EC5" s="152"/>
      <c r="EE5" s="152"/>
      <c r="EF5" s="152"/>
      <c r="EH5" s="152"/>
      <c r="EI5" s="144"/>
    </row>
    <row r="6" spans="1:140" s="97" customFormat="1" ht="25.5" customHeight="1">
      <c r="A6" s="622" t="s">
        <v>638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149"/>
      <c r="Q6" s="149"/>
      <c r="S6" s="153"/>
      <c r="T6" s="153"/>
      <c r="V6" s="149"/>
      <c r="W6" s="149"/>
      <c r="Y6" s="149"/>
      <c r="Z6" s="149"/>
      <c r="AB6" s="149"/>
      <c r="AC6" s="149"/>
      <c r="AE6" s="149"/>
      <c r="AF6" s="149"/>
      <c r="AH6" s="149"/>
      <c r="AI6" s="153"/>
      <c r="AJ6" s="144"/>
      <c r="AK6" s="149"/>
      <c r="AL6" s="149"/>
      <c r="AN6" s="149"/>
      <c r="AO6" s="149"/>
      <c r="AQ6" s="149"/>
      <c r="AR6" s="149"/>
      <c r="AT6" s="149"/>
      <c r="AU6" s="149"/>
      <c r="AW6" s="149"/>
      <c r="AX6" s="158"/>
      <c r="AY6" s="144"/>
      <c r="AZ6" s="149"/>
      <c r="BA6" s="158"/>
      <c r="BB6" s="144"/>
      <c r="BC6" s="149"/>
      <c r="BD6" s="158"/>
      <c r="BE6" s="144"/>
      <c r="BF6" s="149"/>
      <c r="BG6" s="149"/>
      <c r="BH6" s="144"/>
      <c r="BI6" s="149"/>
      <c r="BJ6" s="149"/>
      <c r="BK6" s="144"/>
      <c r="BL6" s="149"/>
      <c r="BM6" s="149"/>
      <c r="BN6" s="144"/>
      <c r="BO6" s="149"/>
      <c r="BP6" s="149"/>
      <c r="BQ6" s="144"/>
      <c r="BR6" s="149"/>
      <c r="BS6" s="149"/>
      <c r="CX6" s="153"/>
      <c r="CY6" s="144"/>
      <c r="DV6" s="163"/>
      <c r="DY6" s="163"/>
      <c r="EB6" s="163"/>
      <c r="EE6" s="163"/>
      <c r="EH6" s="163"/>
      <c r="EI6" s="163"/>
    </row>
    <row r="7" spans="1:140">
      <c r="A7" s="623"/>
      <c r="B7" s="623"/>
      <c r="C7" s="623"/>
      <c r="D7" s="113"/>
      <c r="E7" s="606" t="s">
        <v>314</v>
      </c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606"/>
      <c r="BD7" s="606"/>
      <c r="BE7" s="606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606" t="s">
        <v>317</v>
      </c>
      <c r="BU7" s="606"/>
      <c r="BV7" s="606"/>
      <c r="BW7" s="606"/>
      <c r="BX7" s="606"/>
      <c r="BY7" s="606"/>
      <c r="BZ7" s="606"/>
      <c r="CA7" s="606"/>
      <c r="CB7" s="606"/>
      <c r="CC7" s="606"/>
      <c r="CD7" s="606"/>
      <c r="CE7" s="606"/>
      <c r="CF7" s="606"/>
      <c r="CG7" s="606"/>
      <c r="CH7" s="606"/>
      <c r="CI7" s="606"/>
      <c r="CJ7" s="606"/>
      <c r="CK7" s="606"/>
      <c r="CL7" s="606"/>
      <c r="CM7" s="606"/>
      <c r="CN7" s="606"/>
      <c r="CO7" s="606"/>
      <c r="CP7" s="606"/>
      <c r="CQ7" s="606"/>
      <c r="CR7" s="606"/>
      <c r="CS7" s="606"/>
      <c r="CT7" s="606"/>
      <c r="CU7" s="606"/>
      <c r="CV7" s="606"/>
      <c r="CW7" s="606"/>
      <c r="CX7" s="606"/>
      <c r="CY7" s="606"/>
      <c r="CZ7" s="606"/>
      <c r="DA7" s="606"/>
      <c r="DB7" s="606"/>
      <c r="DC7" s="606"/>
      <c r="DD7" s="606"/>
      <c r="DE7" s="606"/>
      <c r="DF7" s="606"/>
      <c r="DG7" s="606"/>
      <c r="DH7" s="606"/>
      <c r="DI7" s="606"/>
      <c r="DJ7" s="606"/>
      <c r="DK7" s="606"/>
      <c r="DL7" s="606"/>
      <c r="DM7" s="606"/>
      <c r="DN7" s="606"/>
      <c r="DO7" s="606"/>
      <c r="DP7" s="606"/>
      <c r="DQ7" s="606"/>
      <c r="DR7" s="606"/>
      <c r="DS7" s="606"/>
      <c r="DT7" s="606"/>
      <c r="DU7" s="606"/>
      <c r="DV7" s="606"/>
      <c r="DW7" s="606"/>
      <c r="DX7" s="606"/>
      <c r="DY7" s="606"/>
      <c r="DZ7" s="606"/>
      <c r="EA7" s="606"/>
      <c r="EB7" s="606"/>
      <c r="EC7" s="606"/>
      <c r="ED7" s="606"/>
      <c r="EE7" s="606"/>
      <c r="EF7" s="606"/>
      <c r="EG7" s="606"/>
      <c r="EH7" s="606"/>
      <c r="EI7" s="163"/>
    </row>
    <row r="8" spans="1:140" s="98" customFormat="1" ht="28.5" customHeight="1">
      <c r="A8" s="601" t="s">
        <v>1</v>
      </c>
      <c r="B8" s="598" t="s">
        <v>321</v>
      </c>
      <c r="C8" s="598" t="s">
        <v>322</v>
      </c>
      <c r="D8" s="620" t="s">
        <v>639</v>
      </c>
      <c r="E8" s="621" t="s">
        <v>640</v>
      </c>
      <c r="F8" s="115" t="s">
        <v>641</v>
      </c>
      <c r="G8" s="116" t="s">
        <v>642</v>
      </c>
      <c r="H8" s="116" t="s">
        <v>325</v>
      </c>
      <c r="I8" s="116" t="s">
        <v>326</v>
      </c>
      <c r="J8" s="115"/>
      <c r="K8" s="115"/>
      <c r="L8" s="116" t="s">
        <v>327</v>
      </c>
      <c r="M8" s="115"/>
      <c r="N8" s="115"/>
      <c r="O8" s="116" t="s">
        <v>328</v>
      </c>
      <c r="P8" s="115"/>
      <c r="Q8" s="115"/>
      <c r="R8" s="154" t="s">
        <v>329</v>
      </c>
      <c r="S8" s="115"/>
      <c r="T8" s="115"/>
      <c r="U8" s="154" t="s">
        <v>330</v>
      </c>
      <c r="V8" s="115"/>
      <c r="W8" s="115"/>
      <c r="X8" s="154" t="s">
        <v>331</v>
      </c>
      <c r="Y8" s="115"/>
      <c r="Z8" s="115"/>
      <c r="AA8" s="154" t="s">
        <v>332</v>
      </c>
      <c r="AB8" s="115"/>
      <c r="AC8" s="115"/>
      <c r="AD8" s="154" t="s">
        <v>333</v>
      </c>
      <c r="AE8" s="115"/>
      <c r="AF8" s="115"/>
      <c r="AG8" s="115" t="s">
        <v>334</v>
      </c>
      <c r="AH8" s="115"/>
      <c r="AI8" s="115"/>
      <c r="AJ8" s="115" t="s">
        <v>335</v>
      </c>
      <c r="AK8" s="115"/>
      <c r="AL8" s="115"/>
      <c r="AM8" s="115" t="s">
        <v>336</v>
      </c>
      <c r="AN8" s="115"/>
      <c r="AO8" s="115"/>
      <c r="AP8" s="115" t="s">
        <v>337</v>
      </c>
      <c r="AQ8" s="115"/>
      <c r="AR8" s="115"/>
      <c r="AS8" s="115" t="s">
        <v>338</v>
      </c>
      <c r="AT8" s="115"/>
      <c r="AU8" s="115"/>
      <c r="AV8" s="115" t="s">
        <v>339</v>
      </c>
      <c r="AW8" s="115"/>
      <c r="AX8" s="115"/>
      <c r="AY8" s="115" t="s">
        <v>340</v>
      </c>
      <c r="AZ8" s="115"/>
      <c r="BA8" s="115"/>
      <c r="BB8" s="115" t="s">
        <v>341</v>
      </c>
      <c r="BC8" s="115"/>
      <c r="BD8" s="115"/>
      <c r="BE8" s="115" t="s">
        <v>342</v>
      </c>
      <c r="BF8" s="115"/>
      <c r="BG8" s="115"/>
      <c r="BH8" s="115" t="s">
        <v>643</v>
      </c>
      <c r="BI8" s="115"/>
      <c r="BJ8" s="115"/>
      <c r="BK8" s="115" t="s">
        <v>644</v>
      </c>
      <c r="BL8" s="115"/>
      <c r="BM8" s="115"/>
      <c r="BN8" s="115" t="s">
        <v>645</v>
      </c>
      <c r="BO8" s="115"/>
      <c r="BP8" s="115"/>
      <c r="BQ8" s="115" t="s">
        <v>646</v>
      </c>
      <c r="BR8" s="115"/>
      <c r="BS8" s="115"/>
      <c r="BT8" s="619" t="s">
        <v>640</v>
      </c>
      <c r="BU8" s="115" t="s">
        <v>641</v>
      </c>
      <c r="BV8" s="116" t="s">
        <v>642</v>
      </c>
      <c r="BW8" s="116" t="s">
        <v>325</v>
      </c>
      <c r="BX8" s="116" t="s">
        <v>326</v>
      </c>
      <c r="BY8" s="115"/>
      <c r="BZ8" s="115"/>
      <c r="CA8" s="116" t="s">
        <v>327</v>
      </c>
      <c r="CB8" s="115"/>
      <c r="CC8" s="115"/>
      <c r="CD8" s="116" t="s">
        <v>328</v>
      </c>
      <c r="CE8" s="115"/>
      <c r="CF8" s="115"/>
      <c r="CG8" s="154" t="s">
        <v>329</v>
      </c>
      <c r="CH8" s="115"/>
      <c r="CI8" s="115"/>
      <c r="CJ8" s="154" t="s">
        <v>330</v>
      </c>
      <c r="CK8" s="115"/>
      <c r="CL8" s="115"/>
      <c r="CM8" s="154" t="s">
        <v>331</v>
      </c>
      <c r="CN8" s="115"/>
      <c r="CO8" s="115"/>
      <c r="CP8" s="154" t="s">
        <v>332</v>
      </c>
      <c r="CQ8" s="115"/>
      <c r="CR8" s="115"/>
      <c r="CS8" s="154" t="s">
        <v>333</v>
      </c>
      <c r="CT8" s="115"/>
      <c r="CU8" s="115"/>
      <c r="CV8" s="115" t="s">
        <v>334</v>
      </c>
      <c r="CW8" s="115"/>
      <c r="CX8" s="115"/>
      <c r="CY8" s="115" t="s">
        <v>335</v>
      </c>
      <c r="CZ8" s="115"/>
      <c r="DA8" s="115"/>
      <c r="DB8" s="115" t="s">
        <v>336</v>
      </c>
      <c r="DC8" s="115"/>
      <c r="DD8" s="115"/>
      <c r="DE8" s="115" t="s">
        <v>337</v>
      </c>
      <c r="DF8" s="115"/>
      <c r="DG8" s="115"/>
      <c r="DH8" s="115" t="s">
        <v>338</v>
      </c>
      <c r="DI8" s="115"/>
      <c r="DJ8" s="115"/>
      <c r="DK8" s="115" t="s">
        <v>339</v>
      </c>
      <c r="DL8" s="115"/>
      <c r="DM8" s="115"/>
      <c r="DN8" s="115" t="s">
        <v>340</v>
      </c>
      <c r="DO8" s="115"/>
      <c r="DP8" s="115"/>
      <c r="DQ8" s="115" t="s">
        <v>341</v>
      </c>
      <c r="DR8" s="115"/>
      <c r="DS8" s="115"/>
      <c r="DT8" s="115" t="s">
        <v>342</v>
      </c>
      <c r="DU8" s="115"/>
      <c r="DV8" s="115"/>
      <c r="DW8" s="115" t="s">
        <v>643</v>
      </c>
      <c r="DX8" s="115"/>
      <c r="DY8" s="115"/>
      <c r="DZ8" s="115" t="s">
        <v>644</v>
      </c>
      <c r="EA8" s="115"/>
      <c r="EB8" s="115"/>
      <c r="EC8" s="115" t="s">
        <v>645</v>
      </c>
      <c r="ED8" s="115"/>
      <c r="EE8" s="115"/>
      <c r="EF8" s="115" t="s">
        <v>646</v>
      </c>
      <c r="EG8" s="115"/>
      <c r="EH8" s="115"/>
      <c r="EI8" s="164" t="s">
        <v>73</v>
      </c>
      <c r="EJ8" s="164"/>
    </row>
    <row r="9" spans="1:140" s="99" customFormat="1" ht="28.5">
      <c r="A9" s="601"/>
      <c r="B9" s="598"/>
      <c r="C9" s="598"/>
      <c r="D9" s="620"/>
      <c r="E9" s="621"/>
      <c r="F9" s="49" t="s">
        <v>647</v>
      </c>
      <c r="G9" s="49" t="s">
        <v>648</v>
      </c>
      <c r="H9" s="49" t="s">
        <v>649</v>
      </c>
      <c r="I9" s="49" t="s">
        <v>650</v>
      </c>
      <c r="J9" s="150" t="s">
        <v>651</v>
      </c>
      <c r="K9" s="150" t="s">
        <v>652</v>
      </c>
      <c r="L9" s="150" t="s">
        <v>653</v>
      </c>
      <c r="M9" s="150" t="s">
        <v>651</v>
      </c>
      <c r="N9" s="150" t="s">
        <v>652</v>
      </c>
      <c r="O9" s="150">
        <v>2022</v>
      </c>
      <c r="P9" s="150" t="s">
        <v>651</v>
      </c>
      <c r="Q9" s="150" t="s">
        <v>652</v>
      </c>
      <c r="R9" s="150">
        <v>2023</v>
      </c>
      <c r="S9" s="150" t="s">
        <v>651</v>
      </c>
      <c r="T9" s="150" t="s">
        <v>652</v>
      </c>
      <c r="U9" s="150">
        <v>2024</v>
      </c>
      <c r="V9" s="150" t="s">
        <v>651</v>
      </c>
      <c r="W9" s="150" t="s">
        <v>652</v>
      </c>
      <c r="X9" s="150">
        <v>2025</v>
      </c>
      <c r="Y9" s="150" t="s">
        <v>651</v>
      </c>
      <c r="Z9" s="150" t="s">
        <v>652</v>
      </c>
      <c r="AA9" s="150">
        <v>2026</v>
      </c>
      <c r="AB9" s="150" t="s">
        <v>651</v>
      </c>
      <c r="AC9" s="150" t="s">
        <v>652</v>
      </c>
      <c r="AD9" s="150">
        <v>2027</v>
      </c>
      <c r="AE9" s="150" t="s">
        <v>651</v>
      </c>
      <c r="AF9" s="150" t="s">
        <v>652</v>
      </c>
      <c r="AG9" s="150">
        <v>2028</v>
      </c>
      <c r="AH9" s="150" t="s">
        <v>651</v>
      </c>
      <c r="AI9" s="150" t="s">
        <v>652</v>
      </c>
      <c r="AJ9" s="150">
        <v>2029</v>
      </c>
      <c r="AK9" s="150" t="s">
        <v>651</v>
      </c>
      <c r="AL9" s="150" t="s">
        <v>652</v>
      </c>
      <c r="AM9" s="150">
        <v>2030</v>
      </c>
      <c r="AN9" s="150" t="s">
        <v>651</v>
      </c>
      <c r="AO9" s="150" t="s">
        <v>652</v>
      </c>
      <c r="AP9" s="150">
        <v>2031</v>
      </c>
      <c r="AQ9" s="150" t="s">
        <v>651</v>
      </c>
      <c r="AR9" s="150" t="s">
        <v>652</v>
      </c>
      <c r="AS9" s="150">
        <v>2032</v>
      </c>
      <c r="AT9" s="150" t="s">
        <v>651</v>
      </c>
      <c r="AU9" s="150" t="s">
        <v>652</v>
      </c>
      <c r="AV9" s="150">
        <v>2033</v>
      </c>
      <c r="AW9" s="150" t="s">
        <v>651</v>
      </c>
      <c r="AX9" s="150" t="s">
        <v>652</v>
      </c>
      <c r="AY9" s="150">
        <v>2034</v>
      </c>
      <c r="AZ9" s="150" t="s">
        <v>651</v>
      </c>
      <c r="BA9" s="150" t="s">
        <v>652</v>
      </c>
      <c r="BB9" s="150">
        <v>2035</v>
      </c>
      <c r="BC9" s="150" t="s">
        <v>651</v>
      </c>
      <c r="BD9" s="150" t="s">
        <v>652</v>
      </c>
      <c r="BE9" s="150">
        <v>2036</v>
      </c>
      <c r="BF9" s="150" t="s">
        <v>651</v>
      </c>
      <c r="BG9" s="150" t="s">
        <v>652</v>
      </c>
      <c r="BH9" s="150">
        <v>2037</v>
      </c>
      <c r="BI9" s="150" t="s">
        <v>651</v>
      </c>
      <c r="BJ9" s="150" t="s">
        <v>652</v>
      </c>
      <c r="BK9" s="150">
        <v>2038</v>
      </c>
      <c r="BL9" s="150" t="s">
        <v>651</v>
      </c>
      <c r="BM9" s="150" t="s">
        <v>652</v>
      </c>
      <c r="BN9" s="150">
        <v>2039</v>
      </c>
      <c r="BO9" s="150" t="s">
        <v>651</v>
      </c>
      <c r="BP9" s="150" t="s">
        <v>652</v>
      </c>
      <c r="BQ9" s="150">
        <v>2040</v>
      </c>
      <c r="BR9" s="150" t="s">
        <v>651</v>
      </c>
      <c r="BS9" s="150" t="s">
        <v>652</v>
      </c>
      <c r="BT9" s="619"/>
      <c r="BU9" s="115" t="s">
        <v>647</v>
      </c>
      <c r="BV9" s="115" t="s">
        <v>648</v>
      </c>
      <c r="BW9" s="115" t="s">
        <v>649</v>
      </c>
      <c r="BX9" s="115" t="s">
        <v>650</v>
      </c>
      <c r="BY9" s="115" t="s">
        <v>651</v>
      </c>
      <c r="BZ9" s="115" t="s">
        <v>652</v>
      </c>
      <c r="CA9" s="115" t="s">
        <v>653</v>
      </c>
      <c r="CB9" s="115" t="s">
        <v>651</v>
      </c>
      <c r="CC9" s="115" t="s">
        <v>652</v>
      </c>
      <c r="CD9" s="115">
        <v>2022</v>
      </c>
      <c r="CE9" s="115" t="s">
        <v>651</v>
      </c>
      <c r="CF9" s="115" t="s">
        <v>652</v>
      </c>
      <c r="CG9" s="115">
        <v>2023</v>
      </c>
      <c r="CH9" s="115" t="s">
        <v>651</v>
      </c>
      <c r="CI9" s="115" t="s">
        <v>652</v>
      </c>
      <c r="CJ9" s="115">
        <v>2024</v>
      </c>
      <c r="CK9" s="115" t="s">
        <v>651</v>
      </c>
      <c r="CL9" s="115" t="s">
        <v>652</v>
      </c>
      <c r="CM9" s="115">
        <v>2025</v>
      </c>
      <c r="CN9" s="115" t="s">
        <v>651</v>
      </c>
      <c r="CO9" s="115" t="s">
        <v>652</v>
      </c>
      <c r="CP9" s="115">
        <v>2026</v>
      </c>
      <c r="CQ9" s="115" t="s">
        <v>651</v>
      </c>
      <c r="CR9" s="115" t="s">
        <v>652</v>
      </c>
      <c r="CS9" s="115">
        <v>2027</v>
      </c>
      <c r="CT9" s="115" t="s">
        <v>651</v>
      </c>
      <c r="CU9" s="115" t="s">
        <v>652</v>
      </c>
      <c r="CV9" s="115">
        <v>2028</v>
      </c>
      <c r="CW9" s="115" t="s">
        <v>651</v>
      </c>
      <c r="CX9" s="115" t="s">
        <v>652</v>
      </c>
      <c r="CY9" s="115">
        <v>2029</v>
      </c>
      <c r="CZ9" s="115" t="s">
        <v>651</v>
      </c>
      <c r="DA9" s="115" t="s">
        <v>652</v>
      </c>
      <c r="DB9" s="115">
        <v>2030</v>
      </c>
      <c r="DC9" s="115" t="s">
        <v>651</v>
      </c>
      <c r="DD9" s="115" t="s">
        <v>652</v>
      </c>
      <c r="DE9" s="115">
        <v>2031</v>
      </c>
      <c r="DF9" s="115" t="s">
        <v>651</v>
      </c>
      <c r="DG9" s="115" t="s">
        <v>652</v>
      </c>
      <c r="DH9" s="115">
        <v>2032</v>
      </c>
      <c r="DI9" s="115" t="s">
        <v>651</v>
      </c>
      <c r="DJ9" s="115" t="s">
        <v>652</v>
      </c>
      <c r="DK9" s="115">
        <v>2033</v>
      </c>
      <c r="DL9" s="115" t="s">
        <v>651</v>
      </c>
      <c r="DM9" s="115" t="s">
        <v>652</v>
      </c>
      <c r="DN9" s="115">
        <v>2034</v>
      </c>
      <c r="DO9" s="115" t="s">
        <v>651</v>
      </c>
      <c r="DP9" s="115" t="s">
        <v>652</v>
      </c>
      <c r="DQ9" s="115">
        <v>2035</v>
      </c>
      <c r="DR9" s="115" t="s">
        <v>651</v>
      </c>
      <c r="DS9" s="115" t="s">
        <v>652</v>
      </c>
      <c r="DT9" s="115">
        <v>2036</v>
      </c>
      <c r="DU9" s="115" t="s">
        <v>651</v>
      </c>
      <c r="DV9" s="115" t="s">
        <v>652</v>
      </c>
      <c r="DW9" s="115">
        <v>2037</v>
      </c>
      <c r="DX9" s="115" t="s">
        <v>651</v>
      </c>
      <c r="DY9" s="115" t="s">
        <v>652</v>
      </c>
      <c r="DZ9" s="115">
        <v>2038</v>
      </c>
      <c r="EA9" s="115" t="s">
        <v>651</v>
      </c>
      <c r="EB9" s="115" t="s">
        <v>652</v>
      </c>
      <c r="EC9" s="115">
        <v>2039</v>
      </c>
      <c r="ED9" s="115" t="s">
        <v>651</v>
      </c>
      <c r="EE9" s="115" t="s">
        <v>652</v>
      </c>
      <c r="EF9" s="115">
        <v>2040</v>
      </c>
      <c r="EG9" s="115" t="s">
        <v>651</v>
      </c>
      <c r="EH9" s="115" t="s">
        <v>652</v>
      </c>
    </row>
    <row r="10" spans="1:140" s="98" customFormat="1" ht="14.25">
      <c r="A10" s="117">
        <v>1</v>
      </c>
      <c r="B10" s="114">
        <f t="shared" ref="B10:I10" si="0">A10+1</f>
        <v>2</v>
      </c>
      <c r="C10" s="118">
        <f t="shared" si="0"/>
        <v>3</v>
      </c>
      <c r="D10" s="119"/>
      <c r="E10" s="120"/>
      <c r="F10" s="117">
        <f>C10+1</f>
        <v>4</v>
      </c>
      <c r="G10" s="117">
        <f t="shared" si="0"/>
        <v>5</v>
      </c>
      <c r="H10" s="117">
        <f t="shared" si="0"/>
        <v>6</v>
      </c>
      <c r="I10" s="117">
        <f t="shared" si="0"/>
        <v>7</v>
      </c>
      <c r="J10" s="117"/>
      <c r="K10" s="117"/>
      <c r="L10" s="117">
        <f>I10+1</f>
        <v>8</v>
      </c>
      <c r="M10" s="117"/>
      <c r="N10" s="117"/>
      <c r="O10" s="151">
        <f>L10+1</f>
        <v>9</v>
      </c>
      <c r="P10" s="151"/>
      <c r="Q10" s="151"/>
      <c r="R10" s="151">
        <f>O10+1</f>
        <v>10</v>
      </c>
      <c r="S10" s="151"/>
      <c r="T10" s="151"/>
      <c r="U10" s="151">
        <f>R10+1</f>
        <v>11</v>
      </c>
      <c r="V10" s="151"/>
      <c r="W10" s="151"/>
      <c r="X10" s="151">
        <f>U10+1</f>
        <v>12</v>
      </c>
      <c r="Y10" s="151"/>
      <c r="Z10" s="151"/>
      <c r="AA10" s="151">
        <f>X10+1</f>
        <v>13</v>
      </c>
      <c r="AB10" s="151"/>
      <c r="AC10" s="151"/>
      <c r="AD10" s="151">
        <f>AA10+1</f>
        <v>14</v>
      </c>
      <c r="AE10" s="151"/>
      <c r="AF10" s="151"/>
      <c r="AG10" s="151">
        <f>AD10+1</f>
        <v>15</v>
      </c>
      <c r="AH10" s="151"/>
      <c r="AI10" s="151"/>
      <c r="AJ10" s="151">
        <f>AG10+1</f>
        <v>16</v>
      </c>
      <c r="AK10" s="151"/>
      <c r="AL10" s="151"/>
      <c r="AM10" s="151">
        <f>AJ10+1</f>
        <v>17</v>
      </c>
      <c r="AN10" s="151"/>
      <c r="AO10" s="151"/>
      <c r="AP10" s="151">
        <f>AM10+1</f>
        <v>18</v>
      </c>
      <c r="AQ10" s="151"/>
      <c r="AR10" s="151"/>
      <c r="AS10" s="151">
        <f>AP10+1</f>
        <v>19</v>
      </c>
      <c r="AT10" s="151"/>
      <c r="AU10" s="151"/>
      <c r="AV10" s="151">
        <f>AS10+1</f>
        <v>20</v>
      </c>
      <c r="AW10" s="151"/>
      <c r="AX10" s="151"/>
      <c r="AY10" s="151">
        <f>AV10+1</f>
        <v>21</v>
      </c>
      <c r="AZ10" s="151"/>
      <c r="BA10" s="151"/>
      <c r="BB10" s="151">
        <f>AY10+1</f>
        <v>22</v>
      </c>
      <c r="BC10" s="151"/>
      <c r="BD10" s="151"/>
      <c r="BE10" s="151">
        <f>BB10+1</f>
        <v>23</v>
      </c>
      <c r="BF10" s="151"/>
      <c r="BG10" s="151"/>
      <c r="BH10" s="151">
        <f>BE10+1</f>
        <v>24</v>
      </c>
      <c r="BI10" s="151"/>
      <c r="BJ10" s="151"/>
      <c r="BK10" s="151">
        <f>BH10+1</f>
        <v>25</v>
      </c>
      <c r="BL10" s="151"/>
      <c r="BM10" s="151"/>
      <c r="BN10" s="151">
        <f>BK10+1</f>
        <v>26</v>
      </c>
      <c r="BO10" s="151"/>
      <c r="BP10" s="151"/>
      <c r="BQ10" s="151">
        <f>BN10+1</f>
        <v>27</v>
      </c>
      <c r="BR10" s="151"/>
      <c r="BS10" s="151"/>
      <c r="BT10" s="120"/>
      <c r="BU10" s="151">
        <f>BE10+1</f>
        <v>24</v>
      </c>
      <c r="BV10" s="151">
        <f t="shared" ref="BV10:BX10" si="1">BU10+1</f>
        <v>25</v>
      </c>
      <c r="BW10" s="151">
        <f t="shared" si="1"/>
        <v>26</v>
      </c>
      <c r="BX10" s="151">
        <f t="shared" si="1"/>
        <v>27</v>
      </c>
      <c r="BY10" s="151"/>
      <c r="BZ10" s="151"/>
      <c r="CA10" s="151">
        <f>BX10+1</f>
        <v>28</v>
      </c>
      <c r="CB10" s="151"/>
      <c r="CC10" s="151"/>
      <c r="CD10" s="151">
        <f>CA10+1</f>
        <v>29</v>
      </c>
      <c r="CE10" s="151"/>
      <c r="CF10" s="151"/>
      <c r="CG10" s="151">
        <f>CD10+1</f>
        <v>30</v>
      </c>
      <c r="CH10" s="151"/>
      <c r="CI10" s="151"/>
      <c r="CJ10" s="151">
        <f>CG10+1</f>
        <v>31</v>
      </c>
      <c r="CK10" s="151"/>
      <c r="CL10" s="151"/>
      <c r="CM10" s="151">
        <f>CJ10+1</f>
        <v>32</v>
      </c>
      <c r="CN10" s="151"/>
      <c r="CO10" s="151"/>
      <c r="CP10" s="151">
        <f>CM10+1</f>
        <v>33</v>
      </c>
      <c r="CQ10" s="151"/>
      <c r="CR10" s="151"/>
      <c r="CS10" s="151">
        <f>CP10+1</f>
        <v>34</v>
      </c>
      <c r="CT10" s="151"/>
      <c r="CU10" s="151"/>
      <c r="CV10" s="151">
        <f>CS10+1</f>
        <v>35</v>
      </c>
      <c r="CW10" s="151"/>
      <c r="CX10" s="151"/>
      <c r="CY10" s="151">
        <f>CV10+1</f>
        <v>36</v>
      </c>
      <c r="CZ10" s="151"/>
      <c r="DA10" s="151"/>
      <c r="DB10" s="151">
        <f>CY10+1</f>
        <v>37</v>
      </c>
      <c r="DC10" s="151"/>
      <c r="DD10" s="151"/>
      <c r="DE10" s="151">
        <f>DB10+1</f>
        <v>38</v>
      </c>
      <c r="DF10" s="151"/>
      <c r="DG10" s="151"/>
      <c r="DH10" s="151">
        <f>DE10+1</f>
        <v>39</v>
      </c>
      <c r="DI10" s="151"/>
      <c r="DJ10" s="151"/>
      <c r="DK10" s="151">
        <f>DH10+1</f>
        <v>40</v>
      </c>
      <c r="DL10" s="151"/>
      <c r="DM10" s="151"/>
      <c r="DN10" s="151">
        <f>DK10+1</f>
        <v>41</v>
      </c>
      <c r="DO10" s="151"/>
      <c r="DP10" s="151"/>
      <c r="DQ10" s="151">
        <f>DN10+1</f>
        <v>42</v>
      </c>
      <c r="DR10" s="151"/>
      <c r="DS10" s="151"/>
      <c r="DT10" s="151">
        <f>DQ10+1</f>
        <v>43</v>
      </c>
      <c r="DU10" s="151"/>
      <c r="DV10" s="151"/>
      <c r="DW10" s="151">
        <f>DT10+1</f>
        <v>44</v>
      </c>
      <c r="DX10" s="151"/>
      <c r="DY10" s="151"/>
      <c r="DZ10" s="151">
        <f>DW10+1</f>
        <v>45</v>
      </c>
      <c r="EA10" s="151"/>
      <c r="EB10" s="151"/>
      <c r="EC10" s="151">
        <f>DZ10+1</f>
        <v>46</v>
      </c>
      <c r="ED10" s="151"/>
      <c r="EE10" s="151"/>
      <c r="EF10" s="151">
        <f>EC10+1</f>
        <v>47</v>
      </c>
      <c r="EG10" s="151"/>
      <c r="EH10" s="151"/>
    </row>
    <row r="11" spans="1:140" ht="29.25">
      <c r="A11" s="117">
        <v>1</v>
      </c>
      <c r="B11" s="121" t="s">
        <v>654</v>
      </c>
      <c r="C11" s="122" t="s">
        <v>349</v>
      </c>
      <c r="D11" s="119">
        <f t="shared" ref="D11:I11" si="2">D12+D45+D50+D56</f>
        <v>17919738.095864512</v>
      </c>
      <c r="E11" s="123">
        <f t="shared" si="2"/>
        <v>10321556.567380119</v>
      </c>
      <c r="F11" s="124">
        <f t="shared" si="2"/>
        <v>295407.66207910184</v>
      </c>
      <c r="G11" s="124">
        <f t="shared" si="2"/>
        <v>306524.90614999982</v>
      </c>
      <c r="H11" s="124">
        <f t="shared" si="2"/>
        <v>315965.16945999995</v>
      </c>
      <c r="I11" s="124">
        <f t="shared" si="2"/>
        <v>308621.26254000008</v>
      </c>
      <c r="J11" s="124"/>
      <c r="K11" s="124"/>
      <c r="L11" s="124">
        <f>L12+L45+L50+L56</f>
        <v>325876.71738516324</v>
      </c>
      <c r="M11" s="124"/>
      <c r="N11" s="124"/>
      <c r="O11" s="124">
        <f>O12+O45+O50+O56</f>
        <v>335988.02621266613</v>
      </c>
      <c r="P11" s="124"/>
      <c r="Q11" s="124"/>
      <c r="R11" s="124">
        <f>R12+R45+R50+R56</f>
        <v>347208.96777892386</v>
      </c>
      <c r="S11" s="124"/>
      <c r="T11" s="124"/>
      <c r="U11" s="124">
        <f>U12+U45+U50+U56</f>
        <v>363413.71078121889</v>
      </c>
      <c r="V11" s="124"/>
      <c r="W11" s="124"/>
      <c r="X11" s="124">
        <f>X12+X45+X50+X56</f>
        <v>377385.23155164707</v>
      </c>
      <c r="Y11" s="124"/>
      <c r="Z11" s="124"/>
      <c r="AA11" s="124">
        <f>AA12+AA45+AA50+AA56</f>
        <v>388883.60364156816</v>
      </c>
      <c r="AB11" s="124"/>
      <c r="AC11" s="124"/>
      <c r="AD11" s="124">
        <f>AD12+AD45+AD50+AD56</f>
        <v>411611.53839637229</v>
      </c>
      <c r="AE11" s="124"/>
      <c r="AF11" s="124"/>
      <c r="AG11" s="124">
        <f>AG12+AG45+AG50+AG56</f>
        <v>433774.07542520092</v>
      </c>
      <c r="AH11" s="124"/>
      <c r="AI11" s="124"/>
      <c r="AJ11" s="124">
        <f>AJ12+AJ45+AJ50+AJ56</f>
        <v>438413.73911999952</v>
      </c>
      <c r="AK11" s="124"/>
      <c r="AL11" s="124"/>
      <c r="AM11" s="124">
        <f>AM12+AM45+AM50+AM56</f>
        <v>447475.72767999943</v>
      </c>
      <c r="AN11" s="124"/>
      <c r="AO11" s="124"/>
      <c r="AP11" s="124">
        <f>AP12+AP45+AP50+AP56</f>
        <v>456818.70813333261</v>
      </c>
      <c r="AQ11" s="124"/>
      <c r="AR11" s="124"/>
      <c r="AS11" s="124">
        <f>AS12+AS45+AS50+AS56</f>
        <v>469614.85329999938</v>
      </c>
      <c r="AT11" s="124"/>
      <c r="AU11" s="124"/>
      <c r="AV11" s="124">
        <f>AV12+AV45+AV50+AV56</f>
        <v>482950.95421333273</v>
      </c>
      <c r="AW11" s="124"/>
      <c r="AX11" s="124"/>
      <c r="AY11" s="124">
        <f>AY12+AY45+AY50+AY56</f>
        <v>496777.94099999935</v>
      </c>
      <c r="AZ11" s="124"/>
      <c r="BA11" s="124"/>
      <c r="BB11" s="124">
        <f>BB12+BB45+BB50+BB56</f>
        <v>506052.43377007759</v>
      </c>
      <c r="BC11" s="124"/>
      <c r="BD11" s="124"/>
      <c r="BE11" s="124">
        <f>BE12+BE45+BE50+BE56</f>
        <v>528974.57687552751</v>
      </c>
      <c r="BF11" s="124"/>
      <c r="BG11" s="124"/>
      <c r="BH11" s="124">
        <f>BH12+BH45+BH50+BH56</f>
        <v>542085.67410853459</v>
      </c>
      <c r="BI11" s="124"/>
      <c r="BJ11" s="124"/>
      <c r="BK11" s="124">
        <f>BK12+BK45+BK50+BK56</f>
        <v>560867.97569356777</v>
      </c>
      <c r="BL11" s="124"/>
      <c r="BM11" s="124"/>
      <c r="BN11" s="124">
        <f>BN12+BN45+BN50+BN56</f>
        <v>580339.02291157458</v>
      </c>
      <c r="BO11" s="124"/>
      <c r="BP11" s="124"/>
      <c r="BQ11" s="124">
        <f t="shared" ref="BQ11:BX11" si="3">BQ12+BQ45+BQ50+BQ56</f>
        <v>600524.08917231241</v>
      </c>
      <c r="BR11" s="124"/>
      <c r="BS11" s="124"/>
      <c r="BT11" s="160">
        <f t="shared" si="3"/>
        <v>7598181.5284843929</v>
      </c>
      <c r="BU11" s="124">
        <f t="shared" si="3"/>
        <v>202889.59389249136</v>
      </c>
      <c r="BV11" s="124">
        <f t="shared" si="3"/>
        <v>212526.48332999999</v>
      </c>
      <c r="BW11" s="124">
        <f t="shared" si="3"/>
        <v>216804.58996000001</v>
      </c>
      <c r="BX11" s="124">
        <f t="shared" si="3"/>
        <v>214532.01864999995</v>
      </c>
      <c r="BY11" s="124"/>
      <c r="BZ11" s="124"/>
      <c r="CA11" s="124">
        <f>CA12+CA45+CA50+CA56</f>
        <v>229940.31913345665</v>
      </c>
      <c r="CB11" s="124"/>
      <c r="CC11" s="124"/>
      <c r="CD11" s="124">
        <f>CD12+CD45+CD50+CD56</f>
        <v>245854.99956799956</v>
      </c>
      <c r="CE11" s="124"/>
      <c r="CF11" s="124"/>
      <c r="CG11" s="124">
        <f>CG12+CG45+CG50+CG56</f>
        <v>256679.11921507513</v>
      </c>
      <c r="CH11" s="124"/>
      <c r="CI11" s="124"/>
      <c r="CJ11" s="124">
        <f>CJ12+CJ45+CJ50+CJ56</f>
        <v>263872.41900144675</v>
      </c>
      <c r="CK11" s="124"/>
      <c r="CL11" s="124"/>
      <c r="CM11" s="124">
        <f>CM12+CM45+CM50+CM56</f>
        <v>274836.84653168521</v>
      </c>
      <c r="CN11" s="124"/>
      <c r="CO11" s="124"/>
      <c r="CP11" s="124">
        <f>CP12+CP45+CP50+CP56</f>
        <v>291129.83796509734</v>
      </c>
      <c r="CQ11" s="124"/>
      <c r="CR11" s="124"/>
      <c r="CS11" s="124">
        <f>CS12+CS45+CS50+CS56</f>
        <v>299335.05117529334</v>
      </c>
      <c r="CT11" s="124"/>
      <c r="CU11" s="124"/>
      <c r="CV11" s="124">
        <f>CV12+CV45+CV50+CV56</f>
        <v>310233.5996847981</v>
      </c>
      <c r="CW11" s="124"/>
      <c r="CX11" s="124"/>
      <c r="CY11" s="124">
        <f>CY12+CY45+CY50+CY56</f>
        <v>330806.47213083279</v>
      </c>
      <c r="CZ11" s="124"/>
      <c r="DA11" s="124"/>
      <c r="DB11" s="124">
        <f>DB12+DB45+DB50+DB56</f>
        <v>337676.7940583328</v>
      </c>
      <c r="DC11" s="124"/>
      <c r="DD11" s="124"/>
      <c r="DE11" s="124">
        <f>DE12+DE45+DE50+DE56</f>
        <v>344714.68481333274</v>
      </c>
      <c r="DF11" s="124"/>
      <c r="DG11" s="124"/>
      <c r="DH11" s="124">
        <f>DH12+DH45+DH50+DH56</f>
        <v>354363.6508083326</v>
      </c>
      <c r="DI11" s="124"/>
      <c r="DJ11" s="124"/>
      <c r="DK11" s="124">
        <f>DK12+DK45+DK50+DK56</f>
        <v>364431.95018249936</v>
      </c>
      <c r="DL11" s="124"/>
      <c r="DM11" s="124"/>
      <c r="DN11" s="124">
        <f>DN12+DN45+DN50+DN56</f>
        <v>374889.9399249992</v>
      </c>
      <c r="DO11" s="124"/>
      <c r="DP11" s="124"/>
      <c r="DQ11" s="124">
        <f>DQ12+DQ45+DQ50+DQ56</f>
        <v>380897.59253044188</v>
      </c>
      <c r="DR11" s="124"/>
      <c r="DS11" s="124"/>
      <c r="DT11" s="124">
        <f>DT12+DT45+DT50+DT56</f>
        <v>390792.16094490001</v>
      </c>
      <c r="DU11" s="124"/>
      <c r="DV11" s="124"/>
      <c r="DW11" s="124">
        <f>DW12+DW45+DW50+DW56</f>
        <v>403121.60070941987</v>
      </c>
      <c r="DX11" s="124"/>
      <c r="DY11" s="124"/>
      <c r="DZ11" s="124">
        <f>DZ12+DZ45+DZ50+DZ56</f>
        <v>417510.01579416502</v>
      </c>
      <c r="EA11" s="124"/>
      <c r="EB11" s="124"/>
      <c r="EC11" s="124">
        <f>EC12+EC45+EC50+EC56</f>
        <v>432432.58214649151</v>
      </c>
      <c r="ED11" s="124"/>
      <c r="EE11" s="124"/>
      <c r="EF11" s="124">
        <f>EF12+EF45+EF50+EF56</f>
        <v>447909.20633330185</v>
      </c>
      <c r="EG11" s="124"/>
      <c r="EH11" s="124"/>
    </row>
    <row r="12" spans="1:140">
      <c r="A12" s="125" t="s">
        <v>14</v>
      </c>
      <c r="B12" s="126" t="s">
        <v>350</v>
      </c>
      <c r="C12" s="122" t="s">
        <v>349</v>
      </c>
      <c r="D12" s="127">
        <f t="shared" ref="D12:I12" si="4">D13+D22+D23</f>
        <v>15827989.681184776</v>
      </c>
      <c r="E12" s="123">
        <f t="shared" si="4"/>
        <v>9039307.4343005028</v>
      </c>
      <c r="F12" s="124">
        <f t="shared" si="4"/>
        <v>252657.21669425876</v>
      </c>
      <c r="G12" s="124">
        <f t="shared" si="4"/>
        <v>266267.10857430514</v>
      </c>
      <c r="H12" s="124">
        <f t="shared" si="4"/>
        <v>285473.09979862993</v>
      </c>
      <c r="I12" s="124">
        <f t="shared" si="4"/>
        <v>272373.90777000005</v>
      </c>
      <c r="J12" s="124"/>
      <c r="K12" s="124"/>
      <c r="L12" s="124">
        <f>L13+L22+L23</f>
        <v>281922.62589201779</v>
      </c>
      <c r="M12" s="124"/>
      <c r="N12" s="124"/>
      <c r="O12" s="124">
        <f>O13+O22+O23</f>
        <v>291573.00440109154</v>
      </c>
      <c r="P12" s="124"/>
      <c r="Q12" s="124"/>
      <c r="R12" s="124">
        <f>R13+R22+R23</f>
        <v>302249.66008592281</v>
      </c>
      <c r="S12" s="124"/>
      <c r="T12" s="124"/>
      <c r="U12" s="124">
        <f>U13+U22+U23</f>
        <v>314232.05308766681</v>
      </c>
      <c r="V12" s="124"/>
      <c r="W12" s="124"/>
      <c r="X12" s="124">
        <f>X13+X22+X23</f>
        <v>326088.10752380779</v>
      </c>
      <c r="Y12" s="124"/>
      <c r="Z12" s="124"/>
      <c r="AA12" s="124">
        <f>AA13+AA22+AA23</f>
        <v>337781.58261739952</v>
      </c>
      <c r="AB12" s="124"/>
      <c r="AC12" s="124"/>
      <c r="AD12" s="124">
        <f>AD13+AD22+AD23</f>
        <v>352065.19607343845</v>
      </c>
      <c r="AE12" s="124"/>
      <c r="AF12" s="124"/>
      <c r="AG12" s="124">
        <f>AG13+AG22+AG23</f>
        <v>357104.20663429855</v>
      </c>
      <c r="AH12" s="124"/>
      <c r="AI12" s="124"/>
      <c r="AJ12" s="124">
        <f>AJ13+AJ22+AJ23</f>
        <v>368496.94722970575</v>
      </c>
      <c r="AK12" s="124"/>
      <c r="AL12" s="124"/>
      <c r="AM12" s="124">
        <f>AM13+AM22+AM23</f>
        <v>381157.65162388049</v>
      </c>
      <c r="AN12" s="124"/>
      <c r="AO12" s="124"/>
      <c r="AP12" s="124">
        <f>AP13+AP22+AP23</f>
        <v>394272.11649364181</v>
      </c>
      <c r="AQ12" s="124"/>
      <c r="AR12" s="124"/>
      <c r="AS12" s="124">
        <f>AS13+AS22+AS23</f>
        <v>408489.35573932773</v>
      </c>
      <c r="AT12" s="124"/>
      <c r="AU12" s="124"/>
      <c r="AV12" s="124">
        <f>AV13+AV22+AV23</f>
        <v>423241.84191977012</v>
      </c>
      <c r="AW12" s="124"/>
      <c r="AX12" s="124"/>
      <c r="AY12" s="124">
        <f>AY13+AY22+AY23</f>
        <v>438535.43007536919</v>
      </c>
      <c r="AZ12" s="124"/>
      <c r="BA12" s="124"/>
      <c r="BB12" s="124">
        <f>BB13+BB22+BB23</f>
        <v>453377.6882751846</v>
      </c>
      <c r="BC12" s="124"/>
      <c r="BD12" s="124"/>
      <c r="BE12" s="124">
        <f>BE13+BE22+BE23</f>
        <v>471425.48558625684</v>
      </c>
      <c r="BF12" s="124"/>
      <c r="BG12" s="124"/>
      <c r="BH12" s="124">
        <f>BH13+BH22+BH23</f>
        <v>487662.95963800157</v>
      </c>
      <c r="BI12" s="124"/>
      <c r="BJ12" s="124"/>
      <c r="BK12" s="124">
        <f>BK13+BK22+BK23</f>
        <v>505533.94389662275</v>
      </c>
      <c r="BL12" s="124"/>
      <c r="BM12" s="124"/>
      <c r="BN12" s="124">
        <f>BN13+BN22+BN23</f>
        <v>524060.26718466135</v>
      </c>
      <c r="BO12" s="124"/>
      <c r="BP12" s="124"/>
      <c r="BQ12" s="124">
        <f t="shared" ref="BQ12:BX12" si="5">BQ13+BQ22+BQ23</f>
        <v>543265.97748524335</v>
      </c>
      <c r="BR12" s="124"/>
      <c r="BS12" s="124"/>
      <c r="BT12" s="160">
        <f t="shared" si="5"/>
        <v>6788682.2468842734</v>
      </c>
      <c r="BU12" s="124">
        <f t="shared" si="5"/>
        <v>182337.38843232242</v>
      </c>
      <c r="BV12" s="124">
        <f t="shared" si="5"/>
        <v>183368.80574262887</v>
      </c>
      <c r="BW12" s="124">
        <f t="shared" si="5"/>
        <v>203975.30589470337</v>
      </c>
      <c r="BX12" s="124">
        <f t="shared" si="5"/>
        <v>196679.08703</v>
      </c>
      <c r="BY12" s="124"/>
      <c r="BZ12" s="124"/>
      <c r="CA12" s="124">
        <f>CA13+CA22+CA23</f>
        <v>209509.44740467626</v>
      </c>
      <c r="CB12" s="124"/>
      <c r="CC12" s="124"/>
      <c r="CD12" s="124">
        <f>CD13+CD22+CD23</f>
        <v>217605.47834135304</v>
      </c>
      <c r="CE12" s="124"/>
      <c r="CF12" s="124"/>
      <c r="CG12" s="124">
        <f>CG13+CG22+CG23</f>
        <v>226094.69696713422</v>
      </c>
      <c r="CH12" s="124"/>
      <c r="CI12" s="124"/>
      <c r="CJ12" s="124">
        <f>CJ13+CJ22+CJ23</f>
        <v>234092.01002994119</v>
      </c>
      <c r="CK12" s="124"/>
      <c r="CL12" s="124"/>
      <c r="CM12" s="124">
        <f>CM13+CM22+CM23</f>
        <v>243086.51513936144</v>
      </c>
      <c r="CN12" s="124"/>
      <c r="CO12" s="124"/>
      <c r="CP12" s="124">
        <f>CP13+CP22+CP23</f>
        <v>253398.73263747458</v>
      </c>
      <c r="CQ12" s="124"/>
      <c r="CR12" s="124"/>
      <c r="CS12" s="124">
        <f>CS13+CS22+CS23</f>
        <v>262354.76441758848</v>
      </c>
      <c r="CT12" s="124"/>
      <c r="CU12" s="124"/>
      <c r="CV12" s="124">
        <f>CV13+CV22+CV23</f>
        <v>269271.90333857294</v>
      </c>
      <c r="CW12" s="124"/>
      <c r="CX12" s="124"/>
      <c r="CY12" s="124">
        <f>CY13+CY22+CY23</f>
        <v>281253.73031570768</v>
      </c>
      <c r="CZ12" s="124"/>
      <c r="DA12" s="124"/>
      <c r="DB12" s="124">
        <f>DB13+DB22+DB23</f>
        <v>290786.680184628</v>
      </c>
      <c r="DC12" s="124"/>
      <c r="DD12" s="124"/>
      <c r="DE12" s="124">
        <f>DE13+DE22+DE23</f>
        <v>300655.62728602806</v>
      </c>
      <c r="DF12" s="124"/>
      <c r="DG12" s="124"/>
      <c r="DH12" s="124">
        <f>DH13+DH22+DH23</f>
        <v>311360.52876422118</v>
      </c>
      <c r="DI12" s="124"/>
      <c r="DJ12" s="124"/>
      <c r="DK12" s="124">
        <f>DK13+DK22+DK23</f>
        <v>322474.71271663188</v>
      </c>
      <c r="DL12" s="124"/>
      <c r="DM12" s="124"/>
      <c r="DN12" s="124">
        <f>DN13+DN22+DN23</f>
        <v>334004.3634101596</v>
      </c>
      <c r="DO12" s="124"/>
      <c r="DP12" s="124"/>
      <c r="DQ12" s="124">
        <f>DQ13+DQ22+DQ23</f>
        <v>344994.04100000829</v>
      </c>
      <c r="DR12" s="124"/>
      <c r="DS12" s="124"/>
      <c r="DT12" s="124">
        <f>DT13+DT22+DT23</f>
        <v>357124.23152530275</v>
      </c>
      <c r="DU12" s="124"/>
      <c r="DV12" s="124"/>
      <c r="DW12" s="124">
        <f>DW13+DW22+DW23</f>
        <v>370015.49758569588</v>
      </c>
      <c r="DX12" s="124"/>
      <c r="DY12" s="124"/>
      <c r="DZ12" s="124">
        <f>DZ13+DZ22+DZ23</f>
        <v>383705.54817493231</v>
      </c>
      <c r="EA12" s="124"/>
      <c r="EB12" s="124"/>
      <c r="EC12" s="124">
        <f>EC13+EC22+EC23</f>
        <v>397903.838989696</v>
      </c>
      <c r="ED12" s="124"/>
      <c r="EE12" s="124"/>
      <c r="EF12" s="124">
        <f>EF13+EF22+EF23</f>
        <v>412629.31155550561</v>
      </c>
      <c r="EG12" s="124"/>
      <c r="EH12" s="124"/>
    </row>
    <row r="13" spans="1:140">
      <c r="A13" s="125" t="s">
        <v>351</v>
      </c>
      <c r="B13" s="126" t="s">
        <v>352</v>
      </c>
      <c r="C13" s="122" t="s">
        <v>349</v>
      </c>
      <c r="D13" s="127">
        <f t="shared" ref="D13:I13" si="6">D14+D20+D21</f>
        <v>10039599.708029436</v>
      </c>
      <c r="E13" s="123">
        <f t="shared" si="6"/>
        <v>5377039.0112022152</v>
      </c>
      <c r="F13" s="124">
        <f t="shared" si="6"/>
        <v>151976.31483113827</v>
      </c>
      <c r="G13" s="124">
        <f t="shared" si="6"/>
        <v>160957.4466803844</v>
      </c>
      <c r="H13" s="124">
        <f t="shared" si="6"/>
        <v>163690.67548999999</v>
      </c>
      <c r="I13" s="124">
        <f t="shared" si="6"/>
        <v>137234.79259000003</v>
      </c>
      <c r="J13" s="124"/>
      <c r="K13" s="124"/>
      <c r="L13" s="124">
        <f>L14+L20+L21</f>
        <v>172329.23472510633</v>
      </c>
      <c r="M13" s="124"/>
      <c r="N13" s="124"/>
      <c r="O13" s="124">
        <f>O14+O20+O21</f>
        <v>178533.08717521015</v>
      </c>
      <c r="P13" s="124"/>
      <c r="Q13" s="124"/>
      <c r="R13" s="124">
        <f>R14+R20+R21</f>
        <v>184960.27831351769</v>
      </c>
      <c r="S13" s="124"/>
      <c r="T13" s="124"/>
      <c r="U13" s="124">
        <f>U14+U20+U21</f>
        <v>191618.84833280437</v>
      </c>
      <c r="V13" s="124"/>
      <c r="W13" s="124"/>
      <c r="X13" s="124">
        <f>X14+X20+X21</f>
        <v>198517.12687278533</v>
      </c>
      <c r="Y13" s="124"/>
      <c r="Z13" s="124"/>
      <c r="AA13" s="124">
        <f>AA14+AA20+AA21</f>
        <v>205663.74344020561</v>
      </c>
      <c r="AB13" s="124"/>
      <c r="AC13" s="124"/>
      <c r="AD13" s="124">
        <f>AD14+AD20+AD21</f>
        <v>213067.63820405302</v>
      </c>
      <c r="AE13" s="124"/>
      <c r="AF13" s="124"/>
      <c r="AG13" s="124">
        <f>AG14+AG20+AG21</f>
        <v>208727.47652032983</v>
      </c>
      <c r="AH13" s="124"/>
      <c r="AI13" s="124"/>
      <c r="AJ13" s="124">
        <f>AJ14+AJ20+AJ21</f>
        <v>216674.04715478822</v>
      </c>
      <c r="AK13" s="124"/>
      <c r="AL13" s="124"/>
      <c r="AM13" s="124">
        <f>AM14+AM20+AM21</f>
        <v>224906.69433208709</v>
      </c>
      <c r="AN13" s="124"/>
      <c r="AO13" s="124"/>
      <c r="AP13" s="124">
        <f>AP14+AP20+AP21</f>
        <v>233435.71680776868</v>
      </c>
      <c r="AQ13" s="124"/>
      <c r="AR13" s="124"/>
      <c r="AS13" s="124">
        <f>AS14+AS20+AS21</f>
        <v>242271.7840925749</v>
      </c>
      <c r="AT13" s="124"/>
      <c r="AU13" s="124"/>
      <c r="AV13" s="124">
        <f>AV14+AV20+AV21</f>
        <v>251425.94979963408</v>
      </c>
      <c r="AW13" s="124"/>
      <c r="AX13" s="124"/>
      <c r="AY13" s="124">
        <f>AY14+AY20+AY21</f>
        <v>260909.6654721474</v>
      </c>
      <c r="AZ13" s="124"/>
      <c r="BA13" s="124"/>
      <c r="BB13" s="124">
        <f>BB14+BB20+BB21</f>
        <v>270734.79490887118</v>
      </c>
      <c r="BC13" s="124"/>
      <c r="BD13" s="124"/>
      <c r="BE13" s="124">
        <f>BE14+BE20+BE21</f>
        <v>280913.62900531699</v>
      </c>
      <c r="BF13" s="124"/>
      <c r="BG13" s="124"/>
      <c r="BH13" s="124">
        <f>BH14+BH20+BH21</f>
        <v>291026.51964950847</v>
      </c>
      <c r="BI13" s="124"/>
      <c r="BJ13" s="124"/>
      <c r="BK13" s="124">
        <f>BK14+BK20+BK21</f>
        <v>301503.47435689077</v>
      </c>
      <c r="BL13" s="124"/>
      <c r="BM13" s="124"/>
      <c r="BN13" s="124">
        <f>BN14+BN20+BN21</f>
        <v>312357.59943373891</v>
      </c>
      <c r="BO13" s="124"/>
      <c r="BP13" s="124"/>
      <c r="BQ13" s="124">
        <f t="shared" ref="BQ13:BX13" si="7">BQ14+BQ20+BQ21</f>
        <v>323602.47301335348</v>
      </c>
      <c r="BR13" s="124"/>
      <c r="BS13" s="124"/>
      <c r="BT13" s="160">
        <f t="shared" si="7"/>
        <v>4662560.6968272207</v>
      </c>
      <c r="BU13" s="124">
        <f t="shared" si="7"/>
        <v>131720.12739864338</v>
      </c>
      <c r="BV13" s="124">
        <f t="shared" si="7"/>
        <v>130034.83163000002</v>
      </c>
      <c r="BW13" s="124">
        <f t="shared" si="7"/>
        <v>135581.83914999996</v>
      </c>
      <c r="BX13" s="124">
        <f t="shared" si="7"/>
        <v>120408.86322</v>
      </c>
      <c r="BY13" s="124"/>
      <c r="BZ13" s="124"/>
      <c r="CA13" s="124">
        <f>CA14+CA20+CA21</f>
        <v>146753.10240736767</v>
      </c>
      <c r="CB13" s="124"/>
      <c r="CC13" s="124"/>
      <c r="CD13" s="124">
        <f>CD14+CD20+CD21</f>
        <v>152036.21409403291</v>
      </c>
      <c r="CE13" s="124"/>
      <c r="CF13" s="124"/>
      <c r="CG13" s="124">
        <f>CG14+CG20+CG21</f>
        <v>157509.51780141811</v>
      </c>
      <c r="CH13" s="124"/>
      <c r="CI13" s="124"/>
      <c r="CJ13" s="124">
        <f>CJ14+CJ20+CJ21</f>
        <v>163179.86044226916</v>
      </c>
      <c r="CK13" s="124"/>
      <c r="CL13" s="124"/>
      <c r="CM13" s="124">
        <f>CM14+CM20+CM21</f>
        <v>169054.33541819084</v>
      </c>
      <c r="CN13" s="124"/>
      <c r="CO13" s="124"/>
      <c r="CP13" s="124">
        <f>CP14+CP20+CP21</f>
        <v>175140.29149324572</v>
      </c>
      <c r="CQ13" s="124"/>
      <c r="CR13" s="124"/>
      <c r="CS13" s="124">
        <f>CS14+CS20+CS21</f>
        <v>181445.34198700255</v>
      </c>
      <c r="CT13" s="124"/>
      <c r="CU13" s="124"/>
      <c r="CV13" s="124">
        <f>CV14+CV20+CV21</f>
        <v>184371.48819889731</v>
      </c>
      <c r="CW13" s="124"/>
      <c r="CX13" s="124"/>
      <c r="CY13" s="124">
        <f>CY14+CY20+CY21</f>
        <v>191138.67367364457</v>
      </c>
      <c r="CZ13" s="124"/>
      <c r="DA13" s="124"/>
      <c r="DB13" s="124">
        <f>DB14+DB20+DB21</f>
        <v>198149.47782548273</v>
      </c>
      <c r="DC13" s="124"/>
      <c r="DD13" s="124"/>
      <c r="DE13" s="124">
        <f>DE14+DE20+DE21</f>
        <v>205412.67092678702</v>
      </c>
      <c r="DF13" s="124"/>
      <c r="DG13" s="124"/>
      <c r="DH13" s="124">
        <f>DH14+DH20+DH21</f>
        <v>212937.3389797383</v>
      </c>
      <c r="DI13" s="124"/>
      <c r="DJ13" s="124"/>
      <c r="DK13" s="124">
        <f>DK14+DK20+DK21</f>
        <v>220732.89508259585</v>
      </c>
      <c r="DL13" s="124"/>
      <c r="DM13" s="124"/>
      <c r="DN13" s="124">
        <f>DN14+DN20+DN21</f>
        <v>228809.09120515623</v>
      </c>
      <c r="DO13" s="124"/>
      <c r="DP13" s="124"/>
      <c r="DQ13" s="124">
        <f>DQ14+DQ20+DQ21</f>
        <v>237176.0303881288</v>
      </c>
      <c r="DR13" s="124"/>
      <c r="DS13" s="124"/>
      <c r="DT13" s="124">
        <f>DT14+DT20+DT21</f>
        <v>245844.17938168842</v>
      </c>
      <c r="DU13" s="124"/>
      <c r="DV13" s="124"/>
      <c r="DW13" s="124">
        <f>DW14+DW20+DW21</f>
        <v>254694.5698394292</v>
      </c>
      <c r="DX13" s="124"/>
      <c r="DY13" s="124"/>
      <c r="DZ13" s="124">
        <f>DZ14+DZ20+DZ21</f>
        <v>263863.5743536487</v>
      </c>
      <c r="EA13" s="124"/>
      <c r="EB13" s="124"/>
      <c r="EC13" s="124">
        <f>EC14+EC20+EC21</f>
        <v>273362.66303037998</v>
      </c>
      <c r="ED13" s="124"/>
      <c r="EE13" s="124"/>
      <c r="EF13" s="124">
        <f>EF14+EF20+EF21</f>
        <v>283203.71889947378</v>
      </c>
      <c r="EG13" s="124"/>
      <c r="EH13" s="124"/>
    </row>
    <row r="14" spans="1:140">
      <c r="A14" s="125" t="s">
        <v>353</v>
      </c>
      <c r="B14" s="126" t="s">
        <v>354</v>
      </c>
      <c r="C14" s="122" t="s">
        <v>349</v>
      </c>
      <c r="D14" s="128">
        <f t="shared" ref="D14:I14" si="8">D15+D16+D18+D19</f>
        <v>8821232.2611984182</v>
      </c>
      <c r="E14" s="123">
        <f t="shared" si="8"/>
        <v>4495152.9478738941</v>
      </c>
      <c r="F14" s="124">
        <f t="shared" si="8"/>
        <v>115832.85086501647</v>
      </c>
      <c r="G14" s="124">
        <f t="shared" si="8"/>
        <v>126116.45242038439</v>
      </c>
      <c r="H14" s="124">
        <f t="shared" si="8"/>
        <v>126595.92002000001</v>
      </c>
      <c r="I14" s="124">
        <f t="shared" si="8"/>
        <v>118326.40895232133</v>
      </c>
      <c r="J14" s="124"/>
      <c r="K14" s="124"/>
      <c r="L14" s="124">
        <f>L15+L16+L18+L19</f>
        <v>140286.78565482845</v>
      </c>
      <c r="M14" s="124"/>
      <c r="N14" s="124"/>
      <c r="O14" s="124">
        <f>O15+O16+O18+O19</f>
        <v>145337.10993840225</v>
      </c>
      <c r="P14" s="124"/>
      <c r="Q14" s="124"/>
      <c r="R14" s="124">
        <f>R15+R16+R18+R19</f>
        <v>150569.2458961847</v>
      </c>
      <c r="S14" s="124"/>
      <c r="T14" s="124"/>
      <c r="U14" s="124">
        <f>U15+U16+U18+U19</f>
        <v>155989.73874844739</v>
      </c>
      <c r="V14" s="124"/>
      <c r="W14" s="124"/>
      <c r="X14" s="124">
        <f>X15+X16+X18+X19</f>
        <v>161605.36934339147</v>
      </c>
      <c r="Y14" s="124"/>
      <c r="Z14" s="124"/>
      <c r="AA14" s="124">
        <f>AA15+AA16+AA18+AA19</f>
        <v>167423.1626397536</v>
      </c>
      <c r="AB14" s="124"/>
      <c r="AC14" s="124"/>
      <c r="AD14" s="124">
        <f>AD15+AD16+AD18+AD19</f>
        <v>173450.39649478471</v>
      </c>
      <c r="AE14" s="124"/>
      <c r="AF14" s="124"/>
      <c r="AG14" s="124">
        <f>AG15+AG16+AG18+AG19</f>
        <v>179694.61076859699</v>
      </c>
      <c r="AH14" s="124"/>
      <c r="AI14" s="124"/>
      <c r="AJ14" s="124">
        <f>AJ15+AJ16+AJ18+AJ19</f>
        <v>186163.61675626651</v>
      </c>
      <c r="AK14" s="124"/>
      <c r="AL14" s="124"/>
      <c r="AM14" s="124">
        <f>AM15+AM16+AM18+AM19</f>
        <v>192865.50695949211</v>
      </c>
      <c r="AN14" s="124"/>
      <c r="AO14" s="124"/>
      <c r="AP14" s="124">
        <f>AP15+AP16+AP18+AP19</f>
        <v>199808.6652100338</v>
      </c>
      <c r="AQ14" s="124"/>
      <c r="AR14" s="124"/>
      <c r="AS14" s="124">
        <f>AS15+AS16+AS18+AS19</f>
        <v>207001.77715759506</v>
      </c>
      <c r="AT14" s="124"/>
      <c r="AU14" s="124"/>
      <c r="AV14" s="124">
        <f>AV15+AV16+AV18+AV19</f>
        <v>214453.84113526851</v>
      </c>
      <c r="AW14" s="124"/>
      <c r="AX14" s="124"/>
      <c r="AY14" s="124">
        <f>AY15+AY16+AY18+AY19</f>
        <v>222174.17941613815</v>
      </c>
      <c r="AZ14" s="124"/>
      <c r="BA14" s="124"/>
      <c r="BB14" s="124">
        <f>BB15+BB16+BB18+BB19</f>
        <v>230172.44987511911</v>
      </c>
      <c r="BC14" s="124"/>
      <c r="BD14" s="124"/>
      <c r="BE14" s="124">
        <f>BE15+BE16+BE18+BE19</f>
        <v>238458.65807062341</v>
      </c>
      <c r="BF14" s="124"/>
      <c r="BG14" s="124"/>
      <c r="BH14" s="124">
        <f>BH15+BH16+BH18+BH19</f>
        <v>247043.16976116586</v>
      </c>
      <c r="BI14" s="124"/>
      <c r="BJ14" s="124"/>
      <c r="BK14" s="124">
        <f>BK15+BK16+BK18+BK19</f>
        <v>255936.72387256785</v>
      </c>
      <c r="BL14" s="124"/>
      <c r="BM14" s="124"/>
      <c r="BN14" s="124">
        <f>BN15+BN16+BN18+BN19</f>
        <v>265150.44593198033</v>
      </c>
      <c r="BO14" s="124"/>
      <c r="BP14" s="124"/>
      <c r="BQ14" s="124">
        <f t="shared" ref="BQ14:BX14" si="9">BQ15+BQ16+BQ18+BQ19</f>
        <v>274695.86198553164</v>
      </c>
      <c r="BR14" s="124"/>
      <c r="BS14" s="124"/>
      <c r="BT14" s="160">
        <f t="shared" si="9"/>
        <v>4326079.313324525</v>
      </c>
      <c r="BU14" s="124">
        <f t="shared" si="9"/>
        <v>120550.07905652997</v>
      </c>
      <c r="BV14" s="124">
        <f t="shared" si="9"/>
        <v>115968.24305000002</v>
      </c>
      <c r="BW14" s="124">
        <f t="shared" si="9"/>
        <v>121735.79453999996</v>
      </c>
      <c r="BX14" s="124">
        <f t="shared" si="9"/>
        <v>113360.33337767867</v>
      </c>
      <c r="BY14" s="124"/>
      <c r="BZ14" s="124"/>
      <c r="CA14" s="124">
        <f>CA15+CA16+CA18+CA19</f>
        <v>134903.32726528091</v>
      </c>
      <c r="CB14" s="124"/>
      <c r="CC14" s="124"/>
      <c r="CD14" s="124">
        <f>CD15+CD16+CD18+CD19</f>
        <v>139759.84704683101</v>
      </c>
      <c r="CE14" s="124"/>
      <c r="CF14" s="124"/>
      <c r="CG14" s="124">
        <f>CG15+CG16+CG18+CG19</f>
        <v>144791.20154051695</v>
      </c>
      <c r="CH14" s="124"/>
      <c r="CI14" s="124"/>
      <c r="CJ14" s="124">
        <f>CJ15+CJ16+CJ18+CJ19</f>
        <v>150003.68479597557</v>
      </c>
      <c r="CK14" s="124"/>
      <c r="CL14" s="124"/>
      <c r="CM14" s="124">
        <f>CM15+CM16+CM18+CM19</f>
        <v>155403.8174486307</v>
      </c>
      <c r="CN14" s="124"/>
      <c r="CO14" s="124"/>
      <c r="CP14" s="124">
        <f>CP15+CP16+CP18+CP19</f>
        <v>160998.35487678138</v>
      </c>
      <c r="CQ14" s="124"/>
      <c r="CR14" s="124"/>
      <c r="CS14" s="124">
        <f>CS15+CS16+CS18+CS19</f>
        <v>166794.29565234552</v>
      </c>
      <c r="CT14" s="124"/>
      <c r="CU14" s="124"/>
      <c r="CV14" s="124">
        <f>CV15+CV16+CV18+CV19</f>
        <v>172798.89029582997</v>
      </c>
      <c r="CW14" s="124"/>
      <c r="CX14" s="124"/>
      <c r="CY14" s="124">
        <f>CY15+CY16+CY18+CY19</f>
        <v>179019.65034647984</v>
      </c>
      <c r="CZ14" s="124"/>
      <c r="DA14" s="124"/>
      <c r="DB14" s="124">
        <f>DB15+DB16+DB18+DB19</f>
        <v>185464.35775895312</v>
      </c>
      <c r="DC14" s="124"/>
      <c r="DD14" s="124"/>
      <c r="DE14" s="124">
        <f>DE15+DE16+DE18+DE19</f>
        <v>192141.0746382754</v>
      </c>
      <c r="DF14" s="124"/>
      <c r="DG14" s="124"/>
      <c r="DH14" s="124">
        <f>DH15+DH16+DH18+DH19</f>
        <v>199058.15332525334</v>
      </c>
      <c r="DI14" s="124"/>
      <c r="DJ14" s="124"/>
      <c r="DK14" s="124">
        <f>DK15+DK16+DK18+DK19</f>
        <v>206224.24684496244</v>
      </c>
      <c r="DL14" s="124"/>
      <c r="DM14" s="124"/>
      <c r="DN14" s="124">
        <f>DN15+DN16+DN18+DN19</f>
        <v>213648.31973138111</v>
      </c>
      <c r="DO14" s="124"/>
      <c r="DP14" s="124"/>
      <c r="DQ14" s="124">
        <f>DQ15+DQ16+DQ18+DQ19</f>
        <v>221339.65924171082</v>
      </c>
      <c r="DR14" s="124"/>
      <c r="DS14" s="124"/>
      <c r="DT14" s="124">
        <f>DT15+DT16+DT18+DT19</f>
        <v>229307.88697441245</v>
      </c>
      <c r="DU14" s="124"/>
      <c r="DV14" s="124"/>
      <c r="DW14" s="124">
        <f>DW15+DW16+DW18+DW19</f>
        <v>237562.9709054913</v>
      </c>
      <c r="DX14" s="124"/>
      <c r="DY14" s="124"/>
      <c r="DZ14" s="124">
        <f>DZ15+DZ16+DZ18+DZ19</f>
        <v>246115.23785808901</v>
      </c>
      <c r="EA14" s="124"/>
      <c r="EB14" s="124"/>
      <c r="EC14" s="124">
        <f>EC15+EC16+EC18+EC19</f>
        <v>254975.38642098018</v>
      </c>
      <c r="ED14" s="124"/>
      <c r="EE14" s="124"/>
      <c r="EF14" s="124">
        <f>EF15+EF16+EF18+EF19</f>
        <v>264154.50033213553</v>
      </c>
      <c r="EG14" s="124"/>
      <c r="EH14" s="124"/>
    </row>
    <row r="15" spans="1:140" ht="30">
      <c r="A15" s="125" t="s">
        <v>355</v>
      </c>
      <c r="B15" s="126" t="s">
        <v>356</v>
      </c>
      <c r="C15" s="122" t="s">
        <v>349</v>
      </c>
      <c r="D15" s="128">
        <f t="shared" ref="D15:D22" si="10">E15+BT15</f>
        <v>840949.67914289283</v>
      </c>
      <c r="E15" s="129">
        <f t="shared" ref="E15:E22" si="11">SUM(F15:BS15)</f>
        <v>491263.94948925904</v>
      </c>
      <c r="F15" s="124">
        <v>12036.478940000001</v>
      </c>
      <c r="G15" s="124">
        <v>12907.406279999999</v>
      </c>
      <c r="H15" s="124">
        <v>11946.9816190169</v>
      </c>
      <c r="I15" s="124">
        <v>9758.3058099999998</v>
      </c>
      <c r="J15" s="124"/>
      <c r="K15" s="124"/>
      <c r="L15" s="124">
        <v>15561.177718377799</v>
      </c>
      <c r="M15" s="124"/>
      <c r="N15" s="124"/>
      <c r="O15" s="124">
        <f t="shared" ref="O15:O21" si="12">L15*O$70</f>
        <v>16121.380116239401</v>
      </c>
      <c r="P15" s="124"/>
      <c r="Q15" s="124"/>
      <c r="R15" s="124">
        <f t="shared" ref="R15:R19" si="13">O15*R$70</f>
        <v>16701.749800424019</v>
      </c>
      <c r="S15" s="124"/>
      <c r="T15" s="124"/>
      <c r="U15" s="124">
        <f t="shared" ref="U15:U19" si="14">R15*U$70</f>
        <v>17303.012793239282</v>
      </c>
      <c r="V15" s="124"/>
      <c r="W15" s="124"/>
      <c r="X15" s="124">
        <f t="shared" ref="X15:X19" si="15">U15*X$70</f>
        <v>17925.921253795896</v>
      </c>
      <c r="Y15" s="124"/>
      <c r="Z15" s="124"/>
      <c r="AA15" s="124">
        <f t="shared" ref="AA15:AA19" si="16">X15*AA$70</f>
        <v>18571.254418932549</v>
      </c>
      <c r="AB15" s="124"/>
      <c r="AC15" s="124"/>
      <c r="AD15" s="124">
        <f t="shared" ref="AD15:AD19" si="17">AA15*AD$70</f>
        <v>19239.819578014121</v>
      </c>
      <c r="AE15" s="124"/>
      <c r="AF15" s="124"/>
      <c r="AG15" s="124">
        <f t="shared" ref="AG15:AG19" si="18">AD15*AG$70</f>
        <v>19932.453082822631</v>
      </c>
      <c r="AH15" s="124"/>
      <c r="AI15" s="124"/>
      <c r="AJ15" s="124">
        <f t="shared" ref="AJ15:AJ19" si="19">AG15*AJ$70</f>
        <v>20650.021393804247</v>
      </c>
      <c r="AK15" s="124"/>
      <c r="AL15" s="124"/>
      <c r="AM15" s="124">
        <f t="shared" ref="AM15:AM19" si="20">AJ15*AM$70</f>
        <v>21393.422163981202</v>
      </c>
      <c r="AN15" s="124"/>
      <c r="AO15" s="124"/>
      <c r="AP15" s="124">
        <f t="shared" ref="AP15:AP19" si="21">AM15*AP$70</f>
        <v>22163.585361884525</v>
      </c>
      <c r="AQ15" s="124"/>
      <c r="AR15" s="124"/>
      <c r="AS15" s="124">
        <f t="shared" ref="AS15:AS19" si="22">AP15*AS$70</f>
        <v>22961.474434912368</v>
      </c>
      <c r="AT15" s="124"/>
      <c r="AU15" s="124"/>
      <c r="AV15" s="124">
        <f t="shared" ref="AV15:AV19" si="23">AS15*AV$70</f>
        <v>23788.087514569215</v>
      </c>
      <c r="AW15" s="124"/>
      <c r="AX15" s="124"/>
      <c r="AY15" s="124">
        <f t="shared" ref="AY15:AY19" si="24">AV15*AY$70</f>
        <v>24644.458665093709</v>
      </c>
      <c r="AZ15" s="124"/>
      <c r="BA15" s="124"/>
      <c r="BB15" s="124">
        <f t="shared" ref="BB15:BB19" si="25">AY15*BB$70</f>
        <v>25531.659177037083</v>
      </c>
      <c r="BC15" s="124"/>
      <c r="BD15" s="124"/>
      <c r="BE15" s="124">
        <f t="shared" ref="BE15:BE19" si="26">BB15*BE$70</f>
        <v>26450.798907410419</v>
      </c>
      <c r="BF15" s="124"/>
      <c r="BG15" s="124"/>
      <c r="BH15" s="124">
        <f t="shared" ref="BH15:BH21" si="27">BE15*BH$70</f>
        <v>27403.027668077193</v>
      </c>
      <c r="BI15" s="124"/>
      <c r="BJ15" s="124"/>
      <c r="BK15" s="124">
        <f t="shared" ref="BK15:BK21" si="28">BH15*BK$70</f>
        <v>28389.536664127972</v>
      </c>
      <c r="BL15" s="124"/>
      <c r="BM15" s="124"/>
      <c r="BN15" s="124">
        <f t="shared" ref="BN15:BN21" si="29">BK15*BN$70</f>
        <v>29411.559984036579</v>
      </c>
      <c r="BO15" s="124"/>
      <c r="BP15" s="124"/>
      <c r="BQ15" s="124">
        <f t="shared" ref="BQ15:BQ21" si="30">BN15*BQ$70</f>
        <v>30470.376143461897</v>
      </c>
      <c r="BR15" s="124"/>
      <c r="BS15" s="124"/>
      <c r="BT15" s="129">
        <f t="shared" ref="BT15:BT22" si="31">SUM(BU15:EH15)</f>
        <v>349685.72965363384</v>
      </c>
      <c r="BU15" s="124">
        <v>8913.8690000000006</v>
      </c>
      <c r="BV15" s="124">
        <v>9794.0945900000006</v>
      </c>
      <c r="BW15" s="124">
        <v>9215.6782521137502</v>
      </c>
      <c r="BX15" s="124">
        <v>8976.9103899999991</v>
      </c>
      <c r="BY15" s="124"/>
      <c r="BZ15" s="124"/>
      <c r="CA15" s="124">
        <v>10947.2423928895</v>
      </c>
      <c r="CB15" s="124"/>
      <c r="CC15" s="124"/>
      <c r="CD15" s="124">
        <f t="shared" ref="CD15:CD21" si="32">CA15*CD$70</f>
        <v>11341.343119033523</v>
      </c>
      <c r="CE15" s="124"/>
      <c r="CF15" s="124"/>
      <c r="CG15" s="124">
        <f t="shared" ref="CG15:CG19" si="33">CD15*CG$70</f>
        <v>11749.631471318731</v>
      </c>
      <c r="CH15" s="124"/>
      <c r="CI15" s="124"/>
      <c r="CJ15" s="124">
        <f t="shared" ref="CJ15:CJ19" si="34">CG15*CJ$70</f>
        <v>12172.618204286206</v>
      </c>
      <c r="CK15" s="124"/>
      <c r="CL15" s="124"/>
      <c r="CM15" s="124">
        <f t="shared" ref="CM15:CM19" si="35">CJ15*CM$70</f>
        <v>12610.832459640509</v>
      </c>
      <c r="CN15" s="124"/>
      <c r="CO15" s="124"/>
      <c r="CP15" s="124">
        <f t="shared" ref="CP15:CP19" si="36">CM15*CP$70</f>
        <v>13064.822428187568</v>
      </c>
      <c r="CQ15" s="124"/>
      <c r="CR15" s="124"/>
      <c r="CS15" s="124">
        <f t="shared" ref="CS15:CS19" si="37">CP15*CS$70</f>
        <v>13535.156035602322</v>
      </c>
      <c r="CT15" s="124"/>
      <c r="CU15" s="124"/>
      <c r="CV15" s="124">
        <f t="shared" ref="CV15:CV19" si="38">CS15*CV$70</f>
        <v>14022.421652884006</v>
      </c>
      <c r="CW15" s="124"/>
      <c r="CX15" s="124"/>
      <c r="CY15" s="124">
        <f t="shared" ref="CY15:CY19" si="39">CV15*CY$70</f>
        <v>14527.228832387831</v>
      </c>
      <c r="CZ15" s="124"/>
      <c r="DA15" s="124"/>
      <c r="DB15" s="124">
        <f t="shared" ref="DB15:DB19" si="40">CY15*DB$70</f>
        <v>15050.209070353794</v>
      </c>
      <c r="DC15" s="124"/>
      <c r="DD15" s="124"/>
      <c r="DE15" s="124">
        <f t="shared" ref="DE15:DE19" si="41">DB15*DE$70</f>
        <v>15592.016596886531</v>
      </c>
      <c r="DF15" s="124"/>
      <c r="DG15" s="124"/>
      <c r="DH15" s="124">
        <f t="shared" ref="DH15:DH19" si="42">DE15*DH$70</f>
        <v>16153.329194374446</v>
      </c>
      <c r="DI15" s="124"/>
      <c r="DJ15" s="124"/>
      <c r="DK15" s="124">
        <f t="shared" ref="DK15:DK19" si="43">DH15*DK$70</f>
        <v>16734.849045371928</v>
      </c>
      <c r="DL15" s="124"/>
      <c r="DM15" s="124"/>
      <c r="DN15" s="124">
        <f t="shared" ref="DN15:DN19" si="44">DK15*DN$70</f>
        <v>17337.303611005318</v>
      </c>
      <c r="DO15" s="124"/>
      <c r="DP15" s="124"/>
      <c r="DQ15" s="124">
        <f t="shared" ref="DQ15:DQ19" si="45">DN15*DQ$70</f>
        <v>17961.446541001511</v>
      </c>
      <c r="DR15" s="124"/>
      <c r="DS15" s="124"/>
      <c r="DT15" s="124">
        <f t="shared" ref="DT15:DT19" si="46">DQ15*DT$70</f>
        <v>18608.058616477567</v>
      </c>
      <c r="DU15" s="124"/>
      <c r="DV15" s="124"/>
      <c r="DW15" s="124">
        <f t="shared" ref="DW15:DW21" si="47">DT15*DW$70</f>
        <v>19277.948726670758</v>
      </c>
      <c r="DX15" s="124"/>
      <c r="DY15" s="124"/>
      <c r="DZ15" s="124">
        <f t="shared" ref="DZ15:DZ21" si="48">DW15*DZ$70</f>
        <v>19971.954880830905</v>
      </c>
      <c r="EA15" s="124"/>
      <c r="EB15" s="124"/>
      <c r="EC15" s="124">
        <f t="shared" ref="EC15:EC21" si="49">DZ15*EC$70</f>
        <v>20690.945256540817</v>
      </c>
      <c r="ED15" s="124"/>
      <c r="EE15" s="124"/>
      <c r="EF15" s="124">
        <f t="shared" ref="EF15:EF21" si="50">EC15*EF$70</f>
        <v>21435.819285776288</v>
      </c>
      <c r="EG15" s="124"/>
      <c r="EH15" s="124"/>
    </row>
    <row r="16" spans="1:140" ht="60">
      <c r="A16" s="125" t="s">
        <v>357</v>
      </c>
      <c r="B16" s="126" t="s">
        <v>358</v>
      </c>
      <c r="C16" s="122" t="s">
        <v>349</v>
      </c>
      <c r="D16" s="128">
        <f t="shared" si="10"/>
        <v>6921097.2629894689</v>
      </c>
      <c r="E16" s="129">
        <f t="shared" si="11"/>
        <v>3425277.043510708</v>
      </c>
      <c r="F16" s="124">
        <v>89473.973487195501</v>
      </c>
      <c r="G16" s="124">
        <v>94678.507970384497</v>
      </c>
      <c r="H16" s="124">
        <v>96914.705800983094</v>
      </c>
      <c r="I16" s="124">
        <v>95730.412779999999</v>
      </c>
      <c r="J16" s="124"/>
      <c r="K16" s="124"/>
      <c r="L16" s="124">
        <v>106694.452955028</v>
      </c>
      <c r="M16" s="124"/>
      <c r="N16" s="124"/>
      <c r="O16" s="124">
        <f t="shared" si="12"/>
        <v>110535.45326140901</v>
      </c>
      <c r="P16" s="124"/>
      <c r="Q16" s="124"/>
      <c r="R16" s="124">
        <f t="shared" si="13"/>
        <v>114514.72957881974</v>
      </c>
      <c r="S16" s="124"/>
      <c r="T16" s="124"/>
      <c r="U16" s="124">
        <f t="shared" si="14"/>
        <v>118637.25984365724</v>
      </c>
      <c r="V16" s="124"/>
      <c r="W16" s="124"/>
      <c r="X16" s="124">
        <f t="shared" si="15"/>
        <v>122908.20119802891</v>
      </c>
      <c r="Y16" s="124"/>
      <c r="Z16" s="124"/>
      <c r="AA16" s="124">
        <f t="shared" si="16"/>
        <v>127332.89644115795</v>
      </c>
      <c r="AB16" s="124"/>
      <c r="AC16" s="124"/>
      <c r="AD16" s="124">
        <f t="shared" si="17"/>
        <v>131916.88071303963</v>
      </c>
      <c r="AE16" s="124"/>
      <c r="AF16" s="124"/>
      <c r="AG16" s="124">
        <f t="shared" si="18"/>
        <v>136665.88841870907</v>
      </c>
      <c r="AH16" s="124"/>
      <c r="AI16" s="124"/>
      <c r="AJ16" s="124">
        <f t="shared" si="19"/>
        <v>141585.86040178261</v>
      </c>
      <c r="AK16" s="124"/>
      <c r="AL16" s="124"/>
      <c r="AM16" s="124">
        <f t="shared" si="20"/>
        <v>146682.95137624678</v>
      </c>
      <c r="AN16" s="124"/>
      <c r="AO16" s="124"/>
      <c r="AP16" s="124">
        <f t="shared" si="21"/>
        <v>151963.53762579168</v>
      </c>
      <c r="AQ16" s="124"/>
      <c r="AR16" s="124"/>
      <c r="AS16" s="124">
        <f t="shared" si="22"/>
        <v>157434.2249803202</v>
      </c>
      <c r="AT16" s="124"/>
      <c r="AU16" s="124"/>
      <c r="AV16" s="124">
        <f t="shared" si="23"/>
        <v>163101.85707961174</v>
      </c>
      <c r="AW16" s="124"/>
      <c r="AX16" s="124"/>
      <c r="AY16" s="124">
        <f t="shared" si="24"/>
        <v>168973.52393447777</v>
      </c>
      <c r="AZ16" s="124"/>
      <c r="BA16" s="124"/>
      <c r="BB16" s="124">
        <f t="shared" si="25"/>
        <v>175056.57079611896</v>
      </c>
      <c r="BC16" s="124"/>
      <c r="BD16" s="124"/>
      <c r="BE16" s="124">
        <f t="shared" si="26"/>
        <v>181358.60734477924</v>
      </c>
      <c r="BF16" s="124"/>
      <c r="BG16" s="124"/>
      <c r="BH16" s="124">
        <f t="shared" si="27"/>
        <v>187887.51720919131</v>
      </c>
      <c r="BI16" s="124"/>
      <c r="BJ16" s="124"/>
      <c r="BK16" s="124">
        <f t="shared" si="28"/>
        <v>194651.46782872221</v>
      </c>
      <c r="BL16" s="124"/>
      <c r="BM16" s="124"/>
      <c r="BN16" s="124">
        <f t="shared" si="29"/>
        <v>201658.92067055622</v>
      </c>
      <c r="BO16" s="124"/>
      <c r="BP16" s="124"/>
      <c r="BQ16" s="124">
        <f t="shared" si="30"/>
        <v>208918.64181469625</v>
      </c>
      <c r="BR16" s="124"/>
      <c r="BS16" s="124"/>
      <c r="BT16" s="129">
        <f t="shared" si="31"/>
        <v>3495820.2194787613</v>
      </c>
      <c r="BU16" s="124">
        <v>96232.3700603779</v>
      </c>
      <c r="BV16" s="124">
        <v>86505.635070000004</v>
      </c>
      <c r="BW16" s="124">
        <v>93396.905907886205</v>
      </c>
      <c r="BX16" s="124">
        <v>92204.046600000001</v>
      </c>
      <c r="BY16" s="124"/>
      <c r="BZ16" s="124"/>
      <c r="CA16" s="124">
        <v>109459.45627867299</v>
      </c>
      <c r="CB16" s="124"/>
      <c r="CC16" s="124"/>
      <c r="CD16" s="124">
        <f t="shared" si="32"/>
        <v>113399.99670470522</v>
      </c>
      <c r="CE16" s="124"/>
      <c r="CF16" s="124"/>
      <c r="CG16" s="124">
        <f t="shared" si="33"/>
        <v>117482.39658607461</v>
      </c>
      <c r="CH16" s="124"/>
      <c r="CI16" s="124"/>
      <c r="CJ16" s="124">
        <f t="shared" si="34"/>
        <v>121711.7628631733</v>
      </c>
      <c r="CK16" s="124"/>
      <c r="CL16" s="124"/>
      <c r="CM16" s="124">
        <f t="shared" si="35"/>
        <v>126093.38632624754</v>
      </c>
      <c r="CN16" s="124"/>
      <c r="CO16" s="124"/>
      <c r="CP16" s="124">
        <f t="shared" si="36"/>
        <v>130632.74823399245</v>
      </c>
      <c r="CQ16" s="124"/>
      <c r="CR16" s="124"/>
      <c r="CS16" s="124">
        <f t="shared" si="37"/>
        <v>135335.52717041617</v>
      </c>
      <c r="CT16" s="124"/>
      <c r="CU16" s="124"/>
      <c r="CV16" s="124">
        <f t="shared" si="38"/>
        <v>140207.60614855116</v>
      </c>
      <c r="CW16" s="124"/>
      <c r="CX16" s="124"/>
      <c r="CY16" s="124">
        <f t="shared" si="39"/>
        <v>145255.079969899</v>
      </c>
      <c r="CZ16" s="124"/>
      <c r="DA16" s="124"/>
      <c r="DB16" s="124">
        <f t="shared" si="40"/>
        <v>150484.26284881536</v>
      </c>
      <c r="DC16" s="124"/>
      <c r="DD16" s="124"/>
      <c r="DE16" s="124">
        <f t="shared" si="41"/>
        <v>155901.69631137271</v>
      </c>
      <c r="DF16" s="124"/>
      <c r="DG16" s="124"/>
      <c r="DH16" s="124">
        <f t="shared" si="42"/>
        <v>161514.15737858214</v>
      </c>
      <c r="DI16" s="124"/>
      <c r="DJ16" s="124"/>
      <c r="DK16" s="124">
        <f t="shared" si="43"/>
        <v>167328.66704421109</v>
      </c>
      <c r="DL16" s="124"/>
      <c r="DM16" s="124"/>
      <c r="DN16" s="124">
        <f t="shared" si="44"/>
        <v>173352.49905780269</v>
      </c>
      <c r="DO16" s="124"/>
      <c r="DP16" s="124"/>
      <c r="DQ16" s="124">
        <f t="shared" si="45"/>
        <v>179593.18902388361</v>
      </c>
      <c r="DR16" s="124"/>
      <c r="DS16" s="124"/>
      <c r="DT16" s="124">
        <f t="shared" si="46"/>
        <v>186058.54382874342</v>
      </c>
      <c r="DU16" s="124"/>
      <c r="DV16" s="124"/>
      <c r="DW16" s="124">
        <f t="shared" si="47"/>
        <v>192756.6514065782</v>
      </c>
      <c r="DX16" s="124"/>
      <c r="DY16" s="124"/>
      <c r="DZ16" s="124">
        <f t="shared" si="48"/>
        <v>199695.89085721501</v>
      </c>
      <c r="EA16" s="124"/>
      <c r="EB16" s="124"/>
      <c r="EC16" s="124">
        <f t="shared" si="49"/>
        <v>206884.94292807474</v>
      </c>
      <c r="ED16" s="124"/>
      <c r="EE16" s="124"/>
      <c r="EF16" s="124">
        <f t="shared" si="50"/>
        <v>214332.80087348545</v>
      </c>
      <c r="EG16" s="124"/>
      <c r="EH16" s="124"/>
    </row>
    <row r="17" spans="1:145">
      <c r="A17" s="125" t="s">
        <v>359</v>
      </c>
      <c r="B17" s="126" t="s">
        <v>360</v>
      </c>
      <c r="C17" s="122" t="s">
        <v>349</v>
      </c>
      <c r="D17" s="128">
        <f t="shared" si="10"/>
        <v>1602593.0098403476</v>
      </c>
      <c r="E17" s="129">
        <f t="shared" si="11"/>
        <v>793141.97227126826</v>
      </c>
      <c r="F17" s="124">
        <v>20340.347839999999</v>
      </c>
      <c r="G17" s="124">
        <v>21662.293900000001</v>
      </c>
      <c r="H17" s="124">
        <v>22275.928747637001</v>
      </c>
      <c r="I17" s="124">
        <v>21766.019349999999</v>
      </c>
      <c r="J17" s="124"/>
      <c r="K17" s="124"/>
      <c r="L17" s="124">
        <v>24747.868504161699</v>
      </c>
      <c r="M17" s="124"/>
      <c r="N17" s="124"/>
      <c r="O17" s="124">
        <v>25638.791770311502</v>
      </c>
      <c r="P17" s="124"/>
      <c r="Q17" s="124"/>
      <c r="R17" s="124">
        <f>R16/1.302*0.302</f>
        <v>26561.788274042672</v>
      </c>
      <c r="S17" s="124"/>
      <c r="T17" s="124"/>
      <c r="U17" s="124">
        <v>27518.0126519082</v>
      </c>
      <c r="V17" s="124"/>
      <c r="W17" s="124"/>
      <c r="X17" s="124">
        <f>X16/1.302*0.302</f>
        <v>28508.661107376905</v>
      </c>
      <c r="Y17" s="124"/>
      <c r="Z17" s="124"/>
      <c r="AA17" s="124">
        <v>29534.9729072425</v>
      </c>
      <c r="AB17" s="124"/>
      <c r="AC17" s="124"/>
      <c r="AD17" s="124">
        <f>AD16/1.302*0.302</f>
        <v>30598.231931903199</v>
      </c>
      <c r="AE17" s="124"/>
      <c r="AF17" s="124"/>
      <c r="AG17" s="124">
        <v>31699.768281451699</v>
      </c>
      <c r="AH17" s="124"/>
      <c r="AI17" s="124"/>
      <c r="AJ17" s="124">
        <f>AJ16/1.302*0.302</f>
        <v>32840.959939583983</v>
      </c>
      <c r="AK17" s="124"/>
      <c r="AL17" s="124"/>
      <c r="AM17" s="124">
        <f>AM16/1.302*0.302</f>
        <v>34023.234497409008</v>
      </c>
      <c r="AN17" s="124"/>
      <c r="AO17" s="124"/>
      <c r="AP17" s="124">
        <v>35248.070939315701</v>
      </c>
      <c r="AQ17" s="124"/>
      <c r="AR17" s="124"/>
      <c r="AS17" s="124">
        <f>AS16/1.302*0.302</f>
        <v>36517.001493131102</v>
      </c>
      <c r="AT17" s="124"/>
      <c r="AU17" s="124"/>
      <c r="AV17" s="124">
        <f>AV16/1.302*0.302</f>
        <v>37831.613546883826</v>
      </c>
      <c r="AW17" s="124"/>
      <c r="AX17" s="124"/>
      <c r="AY17" s="124">
        <f>AY16/1.302*0.302</f>
        <v>39193.551634571646</v>
      </c>
      <c r="AZ17" s="124"/>
      <c r="BA17" s="124"/>
      <c r="BB17" s="124">
        <f>BB16/1.302*0.302</f>
        <v>40604.519493416221</v>
      </c>
      <c r="BC17" s="124"/>
      <c r="BD17" s="124"/>
      <c r="BE17" s="124">
        <f>BE16/1.302*0.302</f>
        <v>42066.282195179207</v>
      </c>
      <c r="BF17" s="124"/>
      <c r="BG17" s="124"/>
      <c r="BH17" s="124">
        <f>BH16/1.302*0.302</f>
        <v>43580.668354205663</v>
      </c>
      <c r="BI17" s="124"/>
      <c r="BJ17" s="124"/>
      <c r="BK17" s="124">
        <f>BK16/1.302*0.302</f>
        <v>45149.572414957067</v>
      </c>
      <c r="BL17" s="124"/>
      <c r="BM17" s="124"/>
      <c r="BN17" s="124">
        <f>BN16/1.302*0.302</f>
        <v>46774.957021895527</v>
      </c>
      <c r="BO17" s="124"/>
      <c r="BP17" s="124"/>
      <c r="BQ17" s="124">
        <v>48458.855474683798</v>
      </c>
      <c r="BR17" s="124"/>
      <c r="BS17" s="124"/>
      <c r="BT17" s="129">
        <f t="shared" si="31"/>
        <v>809451.03756907932</v>
      </c>
      <c r="BU17" s="124">
        <v>21988.853719999999</v>
      </c>
      <c r="BV17" s="124">
        <v>19530.859540000001</v>
      </c>
      <c r="BW17" s="124">
        <v>21530.011569901199</v>
      </c>
      <c r="BX17" s="124">
        <v>20979.391790000001</v>
      </c>
      <c r="BY17" s="124"/>
      <c r="BZ17" s="124"/>
      <c r="CA17" s="124">
        <v>25389.2133611055</v>
      </c>
      <c r="CB17" s="124"/>
      <c r="CC17" s="124"/>
      <c r="CD17" s="124">
        <f>CD16/1.302*0.302</f>
        <v>26303.225042105205</v>
      </c>
      <c r="CE17" s="124"/>
      <c r="CF17" s="124"/>
      <c r="CG17" s="124">
        <v>27250.141143621</v>
      </c>
      <c r="CH17" s="124"/>
      <c r="CI17" s="124"/>
      <c r="CJ17" s="124">
        <f>CJ16/1.302*0.302</f>
        <v>28231.146224791348</v>
      </c>
      <c r="CK17" s="124"/>
      <c r="CL17" s="124"/>
      <c r="CM17" s="124">
        <f>CM16/1.302*0.302</f>
        <v>29247.467488883838</v>
      </c>
      <c r="CN17" s="124"/>
      <c r="CO17" s="124"/>
      <c r="CP17" s="124">
        <f>CP16/1.302*0.302</f>
        <v>30300.376318483653</v>
      </c>
      <c r="CQ17" s="124"/>
      <c r="CR17" s="124"/>
      <c r="CS17" s="124">
        <f>CS16/1.302*0.302</f>
        <v>31391.189865949065</v>
      </c>
      <c r="CT17" s="124"/>
      <c r="CU17" s="124"/>
      <c r="CV17" s="124">
        <f>CV16/1.302*0.302</f>
        <v>32521.272701123231</v>
      </c>
      <c r="CW17" s="124"/>
      <c r="CX17" s="124"/>
      <c r="CY17" s="124">
        <f>CY16/1.302*0.302</f>
        <v>33692.038518363668</v>
      </c>
      <c r="CZ17" s="124"/>
      <c r="DA17" s="124"/>
      <c r="DB17" s="124">
        <f>DB16/1.302*0.302</f>
        <v>34904.951905024762</v>
      </c>
      <c r="DC17" s="124"/>
      <c r="DD17" s="124"/>
      <c r="DE17" s="124">
        <f>DE16/1.302*0.302</f>
        <v>36161.53017360565</v>
      </c>
      <c r="DF17" s="124"/>
      <c r="DG17" s="124"/>
      <c r="DH17" s="124">
        <f>DH16/1.302*0.302</f>
        <v>37463.345259855458</v>
      </c>
      <c r="DI17" s="124"/>
      <c r="DJ17" s="124"/>
      <c r="DK17" s="124">
        <f>DK16/1.302*0.302</f>
        <v>38812.025689210248</v>
      </c>
      <c r="DL17" s="124"/>
      <c r="DM17" s="124"/>
      <c r="DN17" s="124">
        <f>DN16/1.302*0.302</f>
        <v>40209.258614021819</v>
      </c>
      <c r="DO17" s="124"/>
      <c r="DP17" s="124"/>
      <c r="DQ17" s="124">
        <v>41656.791924126599</v>
      </c>
      <c r="DR17" s="124"/>
      <c r="DS17" s="124"/>
      <c r="DT17" s="124">
        <f>DT16/1.302*0.302</f>
        <v>43156.436433395174</v>
      </c>
      <c r="DU17" s="124"/>
      <c r="DV17" s="124"/>
      <c r="DW17" s="124">
        <v>44710.0681449974</v>
      </c>
      <c r="DX17" s="124"/>
      <c r="DY17" s="124"/>
      <c r="DZ17" s="124">
        <v>46319.6305982173</v>
      </c>
      <c r="EA17" s="124"/>
      <c r="EB17" s="124"/>
      <c r="EC17" s="124">
        <f>EC16/1.302*0.302</f>
        <v>47987.137299753122</v>
      </c>
      <c r="ED17" s="124"/>
      <c r="EE17" s="124"/>
      <c r="EF17" s="124">
        <v>49714.674242544199</v>
      </c>
      <c r="EG17" s="124"/>
      <c r="EH17" s="124"/>
    </row>
    <row r="18" spans="1:145">
      <c r="A18" s="125" t="s">
        <v>361</v>
      </c>
      <c r="B18" s="126" t="s">
        <v>362</v>
      </c>
      <c r="C18" s="122" t="s">
        <v>349</v>
      </c>
      <c r="D18" s="128">
        <f t="shared" si="10"/>
        <v>470253.15597868909</v>
      </c>
      <c r="E18" s="129">
        <f t="shared" si="11"/>
        <v>278299.29251974681</v>
      </c>
      <c r="F18" s="124">
        <v>7725.9388478209703</v>
      </c>
      <c r="G18" s="124">
        <v>11952.965529999899</v>
      </c>
      <c r="H18" s="124">
        <v>8615.2091700000001</v>
      </c>
      <c r="I18" s="124">
        <v>6870.2173823213197</v>
      </c>
      <c r="J18" s="124"/>
      <c r="K18" s="124"/>
      <c r="L18" s="124">
        <v>8509.5380179104195</v>
      </c>
      <c r="M18" s="124"/>
      <c r="N18" s="124"/>
      <c r="O18" s="124">
        <f t="shared" si="12"/>
        <v>8815.8813865551947</v>
      </c>
      <c r="P18" s="124"/>
      <c r="Q18" s="124"/>
      <c r="R18" s="124">
        <f t="shared" si="13"/>
        <v>9133.2531164711818</v>
      </c>
      <c r="S18" s="124"/>
      <c r="T18" s="124"/>
      <c r="U18" s="124">
        <f t="shared" si="14"/>
        <v>9462.050228664144</v>
      </c>
      <c r="V18" s="124"/>
      <c r="W18" s="124"/>
      <c r="X18" s="124">
        <f t="shared" si="15"/>
        <v>9802.6840368960529</v>
      </c>
      <c r="Y18" s="124"/>
      <c r="Z18" s="124"/>
      <c r="AA18" s="124">
        <f t="shared" si="16"/>
        <v>10155.580662224311</v>
      </c>
      <c r="AB18" s="124"/>
      <c r="AC18" s="124"/>
      <c r="AD18" s="124">
        <f t="shared" si="17"/>
        <v>10521.181566064386</v>
      </c>
      <c r="AE18" s="124"/>
      <c r="AF18" s="124"/>
      <c r="AG18" s="124">
        <f t="shared" si="18"/>
        <v>10899.944102442705</v>
      </c>
      <c r="AH18" s="124"/>
      <c r="AI18" s="124"/>
      <c r="AJ18" s="124">
        <f t="shared" si="19"/>
        <v>11292.342090130644</v>
      </c>
      <c r="AK18" s="124"/>
      <c r="AL18" s="124"/>
      <c r="AM18" s="124">
        <f t="shared" si="20"/>
        <v>11698.866405375347</v>
      </c>
      <c r="AN18" s="124"/>
      <c r="AO18" s="124"/>
      <c r="AP18" s="124">
        <f t="shared" si="21"/>
        <v>12120.02559596886</v>
      </c>
      <c r="AQ18" s="124"/>
      <c r="AR18" s="124"/>
      <c r="AS18" s="124">
        <f t="shared" si="22"/>
        <v>12556.346517423739</v>
      </c>
      <c r="AT18" s="124"/>
      <c r="AU18" s="124"/>
      <c r="AV18" s="124">
        <f t="shared" si="23"/>
        <v>13008.374992050994</v>
      </c>
      <c r="AW18" s="124"/>
      <c r="AX18" s="124"/>
      <c r="AY18" s="124">
        <f t="shared" si="24"/>
        <v>13476.676491764831</v>
      </c>
      <c r="AZ18" s="124"/>
      <c r="BA18" s="124"/>
      <c r="BB18" s="124">
        <f t="shared" si="25"/>
        <v>13961.836845468364</v>
      </c>
      <c r="BC18" s="124"/>
      <c r="BD18" s="124"/>
      <c r="BE18" s="124">
        <f t="shared" si="26"/>
        <v>14464.462971905226</v>
      </c>
      <c r="BF18" s="124"/>
      <c r="BG18" s="124"/>
      <c r="BH18" s="124">
        <f t="shared" si="27"/>
        <v>14985.183638893815</v>
      </c>
      <c r="BI18" s="124"/>
      <c r="BJ18" s="124"/>
      <c r="BK18" s="124">
        <f t="shared" si="28"/>
        <v>15524.650249893994</v>
      </c>
      <c r="BL18" s="124"/>
      <c r="BM18" s="124"/>
      <c r="BN18" s="124">
        <f t="shared" si="29"/>
        <v>16083.537658890178</v>
      </c>
      <c r="BO18" s="124"/>
      <c r="BP18" s="124"/>
      <c r="BQ18" s="124">
        <f t="shared" si="30"/>
        <v>16662.545014610227</v>
      </c>
      <c r="BR18" s="124"/>
      <c r="BS18" s="124"/>
      <c r="BT18" s="129">
        <f t="shared" si="31"/>
        <v>191953.86345894227</v>
      </c>
      <c r="BU18" s="124">
        <v>5581.1439361520597</v>
      </c>
      <c r="BV18" s="124">
        <v>8667.8947000000007</v>
      </c>
      <c r="BW18" s="124">
        <v>6111.4770900000003</v>
      </c>
      <c r="BX18" s="124">
        <v>4812.9493076786803</v>
      </c>
      <c r="BY18" s="124"/>
      <c r="BZ18" s="124"/>
      <c r="CA18" s="124">
        <v>5837.1866051756397</v>
      </c>
      <c r="CB18" s="124"/>
      <c r="CC18" s="124"/>
      <c r="CD18" s="124">
        <f t="shared" si="32"/>
        <v>6047.3253229619631</v>
      </c>
      <c r="CE18" s="124"/>
      <c r="CF18" s="124"/>
      <c r="CG18" s="124">
        <f t="shared" si="33"/>
        <v>6265.0290345885942</v>
      </c>
      <c r="CH18" s="124"/>
      <c r="CI18" s="124"/>
      <c r="CJ18" s="124">
        <f t="shared" si="34"/>
        <v>6490.5700798337839</v>
      </c>
      <c r="CK18" s="124"/>
      <c r="CL18" s="124"/>
      <c r="CM18" s="124">
        <f t="shared" si="35"/>
        <v>6724.2306027078002</v>
      </c>
      <c r="CN18" s="124"/>
      <c r="CO18" s="124"/>
      <c r="CP18" s="124">
        <f t="shared" si="36"/>
        <v>6966.302904405281</v>
      </c>
      <c r="CQ18" s="124"/>
      <c r="CR18" s="124"/>
      <c r="CS18" s="124">
        <f t="shared" si="37"/>
        <v>7217.0898089638713</v>
      </c>
      <c r="CT18" s="124"/>
      <c r="CU18" s="124"/>
      <c r="CV18" s="124">
        <f t="shared" si="38"/>
        <v>7476.9050420865706</v>
      </c>
      <c r="CW18" s="124"/>
      <c r="CX18" s="124"/>
      <c r="CY18" s="124">
        <f t="shared" si="39"/>
        <v>7746.0736236016874</v>
      </c>
      <c r="CZ18" s="124"/>
      <c r="DA18" s="124"/>
      <c r="DB18" s="124">
        <f t="shared" si="40"/>
        <v>8024.932274051348</v>
      </c>
      <c r="DC18" s="124"/>
      <c r="DD18" s="124"/>
      <c r="DE18" s="124">
        <f t="shared" si="41"/>
        <v>8313.8298359171968</v>
      </c>
      <c r="DF18" s="124"/>
      <c r="DG18" s="124"/>
      <c r="DH18" s="124">
        <f t="shared" si="42"/>
        <v>8613.1277100102161</v>
      </c>
      <c r="DI18" s="124"/>
      <c r="DJ18" s="124"/>
      <c r="DK18" s="124">
        <f t="shared" si="43"/>
        <v>8923.2003075705834</v>
      </c>
      <c r="DL18" s="124"/>
      <c r="DM18" s="124"/>
      <c r="DN18" s="124">
        <f t="shared" si="44"/>
        <v>9244.4355186431239</v>
      </c>
      <c r="DO18" s="124"/>
      <c r="DP18" s="124"/>
      <c r="DQ18" s="124">
        <f t="shared" si="45"/>
        <v>9577.2351973142759</v>
      </c>
      <c r="DR18" s="124"/>
      <c r="DS18" s="124"/>
      <c r="DT18" s="124">
        <f t="shared" si="46"/>
        <v>9922.0156644175895</v>
      </c>
      <c r="DU18" s="124"/>
      <c r="DV18" s="124"/>
      <c r="DW18" s="124">
        <f t="shared" si="47"/>
        <v>10279.208228336624</v>
      </c>
      <c r="DX18" s="124"/>
      <c r="DY18" s="124"/>
      <c r="DZ18" s="124">
        <f t="shared" si="48"/>
        <v>10649.259724556743</v>
      </c>
      <c r="EA18" s="124"/>
      <c r="EB18" s="124"/>
      <c r="EC18" s="124">
        <f t="shared" si="49"/>
        <v>11032.633074640786</v>
      </c>
      <c r="ED18" s="124"/>
      <c r="EE18" s="124"/>
      <c r="EF18" s="124">
        <f t="shared" si="50"/>
        <v>11429.807865327854</v>
      </c>
      <c r="EG18" s="124"/>
      <c r="EH18" s="124"/>
      <c r="EK18" s="165"/>
      <c r="EL18" s="165"/>
      <c r="EM18" s="165"/>
      <c r="EN18" s="165"/>
      <c r="EO18" s="165"/>
    </row>
    <row r="19" spans="1:145">
      <c r="A19" s="125" t="s">
        <v>363</v>
      </c>
      <c r="B19" s="126" t="s">
        <v>655</v>
      </c>
      <c r="C19" s="122" t="s">
        <v>349</v>
      </c>
      <c r="D19" s="128">
        <f t="shared" si="10"/>
        <v>588932.16308736871</v>
      </c>
      <c r="E19" s="129">
        <f t="shared" si="11"/>
        <v>300312.66235418065</v>
      </c>
      <c r="F19" s="124">
        <v>6596.4595900000004</v>
      </c>
      <c r="G19" s="124">
        <v>6577.5726400000003</v>
      </c>
      <c r="H19" s="124">
        <v>9119.0234299999993</v>
      </c>
      <c r="I19" s="124">
        <v>5967.4729799999996</v>
      </c>
      <c r="J19" s="124"/>
      <c r="K19" s="124"/>
      <c r="L19" s="124">
        <v>9521.6169635122096</v>
      </c>
      <c r="M19" s="124"/>
      <c r="N19" s="124"/>
      <c r="O19" s="124">
        <f t="shared" si="12"/>
        <v>9864.3951741986493</v>
      </c>
      <c r="P19" s="124"/>
      <c r="Q19" s="124"/>
      <c r="R19" s="124">
        <f t="shared" si="13"/>
        <v>10219.513400469801</v>
      </c>
      <c r="S19" s="124"/>
      <c r="T19" s="124"/>
      <c r="U19" s="124">
        <f t="shared" si="14"/>
        <v>10587.415882886715</v>
      </c>
      <c r="V19" s="124"/>
      <c r="W19" s="124"/>
      <c r="X19" s="124">
        <f t="shared" si="15"/>
        <v>10968.562854670638</v>
      </c>
      <c r="Y19" s="124"/>
      <c r="Z19" s="124"/>
      <c r="AA19" s="124">
        <f t="shared" si="16"/>
        <v>11363.43111743878</v>
      </c>
      <c r="AB19" s="124"/>
      <c r="AC19" s="124"/>
      <c r="AD19" s="124">
        <f t="shared" si="17"/>
        <v>11772.514637666576</v>
      </c>
      <c r="AE19" s="124"/>
      <c r="AF19" s="124"/>
      <c r="AG19" s="124">
        <f t="shared" si="18"/>
        <v>12196.325164622573</v>
      </c>
      <c r="AH19" s="124"/>
      <c r="AI19" s="124"/>
      <c r="AJ19" s="124">
        <f t="shared" si="19"/>
        <v>12635.392870548985</v>
      </c>
      <c r="AK19" s="124"/>
      <c r="AL19" s="124"/>
      <c r="AM19" s="124">
        <f t="shared" si="20"/>
        <v>13090.26701388875</v>
      </c>
      <c r="AN19" s="124"/>
      <c r="AO19" s="124"/>
      <c r="AP19" s="124">
        <f t="shared" si="21"/>
        <v>13561.516626388746</v>
      </c>
      <c r="AQ19" s="124"/>
      <c r="AR19" s="124"/>
      <c r="AS19" s="124">
        <f t="shared" si="22"/>
        <v>14049.731224938741</v>
      </c>
      <c r="AT19" s="124"/>
      <c r="AU19" s="124"/>
      <c r="AV19" s="124">
        <f t="shared" si="23"/>
        <v>14555.521549036537</v>
      </c>
      <c r="AW19" s="124"/>
      <c r="AX19" s="124"/>
      <c r="AY19" s="124">
        <f t="shared" si="24"/>
        <v>15079.520324801853</v>
      </c>
      <c r="AZ19" s="124"/>
      <c r="BA19" s="124"/>
      <c r="BB19" s="124">
        <f t="shared" si="25"/>
        <v>15622.38305649472</v>
      </c>
      <c r="BC19" s="124"/>
      <c r="BD19" s="124"/>
      <c r="BE19" s="124">
        <f t="shared" si="26"/>
        <v>16184.78884652853</v>
      </c>
      <c r="BF19" s="124"/>
      <c r="BG19" s="124"/>
      <c r="BH19" s="124">
        <f t="shared" si="27"/>
        <v>16767.44124500356</v>
      </c>
      <c r="BI19" s="124"/>
      <c r="BJ19" s="124"/>
      <c r="BK19" s="124">
        <f t="shared" si="28"/>
        <v>17371.069129823689</v>
      </c>
      <c r="BL19" s="124"/>
      <c r="BM19" s="124"/>
      <c r="BN19" s="124">
        <f t="shared" si="29"/>
        <v>17996.427618497342</v>
      </c>
      <c r="BO19" s="124"/>
      <c r="BP19" s="124"/>
      <c r="BQ19" s="124">
        <f t="shared" si="30"/>
        <v>18644.299012763247</v>
      </c>
      <c r="BR19" s="124"/>
      <c r="BS19" s="124"/>
      <c r="BT19" s="129">
        <f t="shared" si="31"/>
        <v>288619.50073318812</v>
      </c>
      <c r="BU19" s="124">
        <v>9822.6960600000002</v>
      </c>
      <c r="BV19" s="124">
        <v>11000.618689999999</v>
      </c>
      <c r="BW19" s="124">
        <v>13011.73329</v>
      </c>
      <c r="BX19" s="124">
        <v>7366.4270800000004</v>
      </c>
      <c r="BY19" s="124"/>
      <c r="BZ19" s="124"/>
      <c r="CA19" s="124">
        <v>8659.4419885427797</v>
      </c>
      <c r="CB19" s="124"/>
      <c r="CC19" s="124"/>
      <c r="CD19" s="124">
        <f t="shared" si="32"/>
        <v>8971.1819001303193</v>
      </c>
      <c r="CE19" s="124"/>
      <c r="CF19" s="124"/>
      <c r="CG19" s="124">
        <f t="shared" si="33"/>
        <v>9294.1444485350112</v>
      </c>
      <c r="CH19" s="124"/>
      <c r="CI19" s="124"/>
      <c r="CJ19" s="124">
        <f t="shared" si="34"/>
        <v>9628.7336486822715</v>
      </c>
      <c r="CK19" s="124"/>
      <c r="CL19" s="124"/>
      <c r="CM19" s="124">
        <f t="shared" si="35"/>
        <v>9975.3680600348343</v>
      </c>
      <c r="CN19" s="124"/>
      <c r="CO19" s="124"/>
      <c r="CP19" s="124">
        <f t="shared" si="36"/>
        <v>10334.481310196088</v>
      </c>
      <c r="CQ19" s="124"/>
      <c r="CR19" s="124"/>
      <c r="CS19" s="124">
        <f t="shared" si="37"/>
        <v>10706.522637363147</v>
      </c>
      <c r="CT19" s="124"/>
      <c r="CU19" s="124"/>
      <c r="CV19" s="124">
        <f t="shared" si="38"/>
        <v>11091.957452308221</v>
      </c>
      <c r="CW19" s="124"/>
      <c r="CX19" s="124"/>
      <c r="CY19" s="124">
        <f t="shared" si="39"/>
        <v>11491.267920591317</v>
      </c>
      <c r="CZ19" s="124"/>
      <c r="DA19" s="124"/>
      <c r="DB19" s="124">
        <f t="shared" si="40"/>
        <v>11904.953565732605</v>
      </c>
      <c r="DC19" s="124"/>
      <c r="DD19" s="124"/>
      <c r="DE19" s="124">
        <f t="shared" si="41"/>
        <v>12333.53189409898</v>
      </c>
      <c r="DF19" s="124"/>
      <c r="DG19" s="124"/>
      <c r="DH19" s="124">
        <f t="shared" si="42"/>
        <v>12777.539042286544</v>
      </c>
      <c r="DI19" s="124"/>
      <c r="DJ19" s="124"/>
      <c r="DK19" s="124">
        <f t="shared" si="43"/>
        <v>13237.53044780886</v>
      </c>
      <c r="DL19" s="124"/>
      <c r="DM19" s="124"/>
      <c r="DN19" s="124">
        <f t="shared" si="44"/>
        <v>13714.08154392998</v>
      </c>
      <c r="DO19" s="124"/>
      <c r="DP19" s="124"/>
      <c r="DQ19" s="124">
        <f t="shared" si="45"/>
        <v>14207.788479511461</v>
      </c>
      <c r="DR19" s="124"/>
      <c r="DS19" s="124"/>
      <c r="DT19" s="124">
        <f t="shared" si="46"/>
        <v>14719.268864773874</v>
      </c>
      <c r="DU19" s="124"/>
      <c r="DV19" s="124"/>
      <c r="DW19" s="124">
        <f t="shared" si="47"/>
        <v>15249.162543905733</v>
      </c>
      <c r="DX19" s="124"/>
      <c r="DY19" s="124"/>
      <c r="DZ19" s="124">
        <f t="shared" si="48"/>
        <v>15798.13239548634</v>
      </c>
      <c r="EA19" s="124"/>
      <c r="EB19" s="124"/>
      <c r="EC19" s="124">
        <f t="shared" si="49"/>
        <v>16366.865161723848</v>
      </c>
      <c r="ED19" s="124"/>
      <c r="EE19" s="124"/>
      <c r="EF19" s="124">
        <f t="shared" si="50"/>
        <v>16956.072307545906</v>
      </c>
      <c r="EG19" s="124"/>
      <c r="EH19" s="124"/>
      <c r="EK19" s="165"/>
      <c r="EL19" s="165"/>
      <c r="EM19" s="165"/>
      <c r="EN19" s="165"/>
      <c r="EO19" s="165"/>
    </row>
    <row r="20" spans="1:145">
      <c r="A20" s="125" t="s">
        <v>365</v>
      </c>
      <c r="B20" s="126" t="s">
        <v>366</v>
      </c>
      <c r="C20" s="122" t="s">
        <v>349</v>
      </c>
      <c r="D20" s="128">
        <f t="shared" si="10"/>
        <v>808040.95901215589</v>
      </c>
      <c r="E20" s="129">
        <f t="shared" si="11"/>
        <v>665740.29788537056</v>
      </c>
      <c r="F20" s="124">
        <v>24070.991936121802</v>
      </c>
      <c r="G20" s="124">
        <v>22450.60311</v>
      </c>
      <c r="H20" s="124">
        <v>25312.113689999998</v>
      </c>
      <c r="I20" s="124">
        <v>9335.3438900000001</v>
      </c>
      <c r="J20" s="124"/>
      <c r="K20" s="124"/>
      <c r="L20" s="124">
        <v>26081.126392306502</v>
      </c>
      <c r="M20" s="124"/>
      <c r="N20" s="124"/>
      <c r="O20" s="124">
        <f t="shared" si="12"/>
        <v>27020.046942429537</v>
      </c>
      <c r="P20" s="124"/>
      <c r="Q20" s="124"/>
      <c r="R20" s="124">
        <f>L20*O70*R$70</f>
        <v>27992.768632357001</v>
      </c>
      <c r="S20" s="124"/>
      <c r="T20" s="124"/>
      <c r="U20" s="124">
        <f>L20*O70*R70*U70</f>
        <v>29000.508303121853</v>
      </c>
      <c r="V20" s="124"/>
      <c r="W20" s="124"/>
      <c r="X20" s="124">
        <f>L20*O70*R70*U70*X70</f>
        <v>30044.526602034239</v>
      </c>
      <c r="Y20" s="124"/>
      <c r="Z20" s="124"/>
      <c r="AA20" s="124">
        <f>L20*O70*R70*U70*X70*AA70</f>
        <v>31126.129559707471</v>
      </c>
      <c r="AB20" s="124"/>
      <c r="AC20" s="124"/>
      <c r="AD20" s="124">
        <f>L20*O70*R70*U70*X70*AA70*AD70</f>
        <v>32246.670223856941</v>
      </c>
      <c r="AE20" s="124"/>
      <c r="AF20" s="124"/>
      <c r="AG20" s="124">
        <f>AD20*AG$70+EN21</f>
        <v>21396.953692846691</v>
      </c>
      <c r="AH20" s="124"/>
      <c r="AI20" s="124"/>
      <c r="AJ20" s="124">
        <f>AD20*AG$70*$AJ$70+EN21</f>
        <v>22599.625505515658</v>
      </c>
      <c r="AK20" s="124"/>
      <c r="AL20" s="124"/>
      <c r="AM20" s="124">
        <f>AD20*AG$70*$AJ$70*$AM$70+EN21</f>
        <v>23845.593503440708</v>
      </c>
      <c r="AN20" s="124"/>
      <c r="AO20" s="124"/>
      <c r="AP20" s="124">
        <f>AD20*AG$70*$AJ$70*$AM$70*$AP$70+EN21</f>
        <v>25136.416349291059</v>
      </c>
      <c r="AQ20" s="124"/>
      <c r="AR20" s="124"/>
      <c r="AS20" s="124">
        <f>AD20*AG$70*$AJ$70*$AM$70*$AP$70*$AS$70+EN21</f>
        <v>26473.708817592029</v>
      </c>
      <c r="AT20" s="124"/>
      <c r="AU20" s="124"/>
      <c r="AV20" s="124">
        <f>AD20*AG$70*$AJ$70*$AM$70*$AP$70*$AS$70*$AV$70+EN21</f>
        <v>27859.143814751827</v>
      </c>
      <c r="AW20" s="124"/>
      <c r="AX20" s="124"/>
      <c r="AY20" s="124">
        <f>AD20*AG$70*$AJ$70*$AM$70*$AP$70*$AS$70*AV$70*AY$70+EN21</f>
        <v>29294.454471809382</v>
      </c>
      <c r="AZ20" s="124"/>
      <c r="BA20" s="124"/>
      <c r="BB20" s="124">
        <f>AD20*AG$70*$AJ$70*$AM$70*$AP$70*$AS$70*AV$70*AY$70*$BB$70+EN21</f>
        <v>30781.436312521007</v>
      </c>
      <c r="BC20" s="124"/>
      <c r="BD20" s="124"/>
      <c r="BE20" s="124">
        <f>AD20*AG$70*$AJ$70*$AM$70*$AP$70*$AS$70*AV$70*AY$70*BB$70*BE$70+EN21</f>
        <v>32321.949499498252</v>
      </c>
      <c r="BF20" s="124"/>
      <c r="BG20" s="124"/>
      <c r="BH20" s="124">
        <f t="shared" si="27"/>
        <v>33485.539681480193</v>
      </c>
      <c r="BI20" s="124"/>
      <c r="BJ20" s="124"/>
      <c r="BK20" s="124">
        <f t="shared" si="28"/>
        <v>34691.019110013483</v>
      </c>
      <c r="BL20" s="124"/>
      <c r="BM20" s="124"/>
      <c r="BN20" s="124">
        <f t="shared" si="29"/>
        <v>35939.895797973972</v>
      </c>
      <c r="BO20" s="124"/>
      <c r="BP20" s="124"/>
      <c r="BQ20" s="124">
        <f t="shared" si="30"/>
        <v>37233.732046701036</v>
      </c>
      <c r="BR20" s="124"/>
      <c r="BS20" s="124"/>
      <c r="BT20" s="129">
        <f t="shared" si="31"/>
        <v>142300.6611267853</v>
      </c>
      <c r="BU20" s="124">
        <v>5827.2513721134101</v>
      </c>
      <c r="BV20" s="124">
        <v>8894.0911699999997</v>
      </c>
      <c r="BW20" s="124">
        <v>9040.3417100000006</v>
      </c>
      <c r="BX20" s="124">
        <v>3099.6366200000002</v>
      </c>
      <c r="BY20" s="124"/>
      <c r="BZ20" s="124"/>
      <c r="CA20" s="124">
        <v>5728.0295739402</v>
      </c>
      <c r="CB20" s="124"/>
      <c r="CC20" s="124"/>
      <c r="CD20" s="124">
        <f t="shared" si="32"/>
        <v>5934.2386386020471</v>
      </c>
      <c r="CE20" s="124"/>
      <c r="CF20" s="124"/>
      <c r="CG20" s="124">
        <f>CA20*CD70*CG$70</f>
        <v>6147.8712295917212</v>
      </c>
      <c r="CH20" s="124"/>
      <c r="CI20" s="124"/>
      <c r="CJ20" s="124">
        <f>CA20*CD70*CG70*CJ70</f>
        <v>6369.1945938570234</v>
      </c>
      <c r="CK20" s="124"/>
      <c r="CL20" s="124"/>
      <c r="CM20" s="124">
        <f>CA20*CD70*CG70*CJ70*CM70</f>
        <v>6598.4855992358762</v>
      </c>
      <c r="CN20" s="124"/>
      <c r="CO20" s="124"/>
      <c r="CP20" s="124">
        <f>CA20*CD70*CG70*CJ70*CM70*CP70</f>
        <v>6836.0310808083677</v>
      </c>
      <c r="CQ20" s="124"/>
      <c r="CR20" s="124"/>
      <c r="CS20" s="124">
        <f>CA20*CD70*CG70*CJ70*CM70*CP70*CS70</f>
        <v>7082.1281997174692</v>
      </c>
      <c r="CT20" s="124"/>
      <c r="CU20" s="124"/>
      <c r="CV20" s="124">
        <f>CS20*CV$70+EN22</f>
        <v>3731.198715269958</v>
      </c>
      <c r="CW20" s="124"/>
      <c r="CX20" s="124"/>
      <c r="CY20" s="124">
        <f>CS20*CV$70*$CY$70+EN22</f>
        <v>3995.3337686066211</v>
      </c>
      <c r="CZ20" s="124"/>
      <c r="DA20" s="124"/>
      <c r="DB20" s="124">
        <f>CS20*CV$70*$CY$70*$DB$70+EN22</f>
        <v>4268.9776838634043</v>
      </c>
      <c r="DC20" s="124"/>
      <c r="DD20" s="124"/>
      <c r="DE20" s="124">
        <f>CS20*CV$70*$CY$70*$DB$70*$DE$70+EN22</f>
        <v>4552.4727800694309</v>
      </c>
      <c r="DF20" s="124"/>
      <c r="DG20" s="124"/>
      <c r="DH20" s="124">
        <f>CS20*CV$70*$CY$70*$DB$70*$DE$70*$DH$70+EN22</f>
        <v>4846.1736997388743</v>
      </c>
      <c r="DI20" s="124"/>
      <c r="DJ20" s="124"/>
      <c r="DK20" s="124">
        <f>CS20*CV$70*$CY$70*$DB$70*$DE$70*$DH$70*$DK$70+EN22</f>
        <v>5150.4478525164177</v>
      </c>
      <c r="DL20" s="124"/>
      <c r="DM20" s="124"/>
      <c r="DN20" s="124">
        <f>CS20*CV$70*$CY$70*$DB$70*$DE$70*$DH$70*$DK$70*$DN$70+EN22</f>
        <v>5465.675874793953</v>
      </c>
      <c r="DO20" s="124"/>
      <c r="DP20" s="124"/>
      <c r="DQ20" s="124">
        <f>CS20*CV$70*$CY$70*$DB$70*$DE$70*$DH$70*$DK$70*$DN$70*$DQ$70+EN22</f>
        <v>5792.2521058734801</v>
      </c>
      <c r="DR20" s="124"/>
      <c r="DS20" s="124"/>
      <c r="DT20" s="124">
        <f>CS20*CV$70*$CY$70*$DB$70*$DE$70*$DH$70*$DK$70*$DN$70*$DQ$70*$DT$70+EN22</f>
        <v>6130.5850812718691</v>
      </c>
      <c r="DU20" s="124"/>
      <c r="DV20" s="124"/>
      <c r="DW20" s="124">
        <f t="shared" si="47"/>
        <v>6351.2861441976565</v>
      </c>
      <c r="DX20" s="124"/>
      <c r="DY20" s="124"/>
      <c r="DZ20" s="124">
        <f t="shared" si="48"/>
        <v>6579.9324453887721</v>
      </c>
      <c r="EA20" s="124"/>
      <c r="EB20" s="124"/>
      <c r="EC20" s="124">
        <f t="shared" si="49"/>
        <v>6816.810013422768</v>
      </c>
      <c r="ED20" s="124"/>
      <c r="EE20" s="124"/>
      <c r="EF20" s="124">
        <f t="shared" si="50"/>
        <v>7062.2151739059882</v>
      </c>
      <c r="EG20" s="124"/>
      <c r="EH20" s="124"/>
      <c r="EI20" s="108"/>
      <c r="EJ20" s="108"/>
      <c r="EK20" s="166">
        <f>SUM(EK21:EK22)</f>
        <v>808040.95901215589</v>
      </c>
      <c r="EL20" s="167">
        <f>'[10]Прил 9 подписано'!EK21</f>
        <v>639880.52859907201</v>
      </c>
      <c r="EM20" s="165"/>
      <c r="EN20" s="165"/>
      <c r="EO20" s="165"/>
    </row>
    <row r="21" spans="1:145">
      <c r="A21" s="125" t="s">
        <v>367</v>
      </c>
      <c r="B21" s="126" t="s">
        <v>368</v>
      </c>
      <c r="C21" s="122" t="s">
        <v>349</v>
      </c>
      <c r="D21" s="128">
        <f t="shared" si="10"/>
        <v>410326.48781886115</v>
      </c>
      <c r="E21" s="129">
        <f t="shared" si="11"/>
        <v>216145.76544295048</v>
      </c>
      <c r="F21" s="124">
        <v>12072.472030000001</v>
      </c>
      <c r="G21" s="124">
        <v>12390.391149999999</v>
      </c>
      <c r="H21" s="124">
        <v>11782.64178</v>
      </c>
      <c r="I21" s="124">
        <v>9573.0397476786802</v>
      </c>
      <c r="J21" s="124"/>
      <c r="K21" s="124"/>
      <c r="L21" s="124">
        <v>5961.3226779713996</v>
      </c>
      <c r="M21" s="124"/>
      <c r="N21" s="124"/>
      <c r="O21" s="124">
        <f t="shared" si="12"/>
        <v>6175.9302943783705</v>
      </c>
      <c r="P21" s="124"/>
      <c r="Q21" s="124"/>
      <c r="R21" s="124">
        <f>O21*R$70</f>
        <v>6398.2637849759922</v>
      </c>
      <c r="S21" s="124"/>
      <c r="T21" s="124"/>
      <c r="U21" s="124">
        <f>R21*U$70</f>
        <v>6628.6012812351282</v>
      </c>
      <c r="V21" s="124"/>
      <c r="W21" s="124"/>
      <c r="X21" s="124">
        <f>U21*X$70</f>
        <v>6867.2309273595929</v>
      </c>
      <c r="Y21" s="124"/>
      <c r="Z21" s="124"/>
      <c r="AA21" s="124">
        <f>X21*AA$70</f>
        <v>7114.4512407445382</v>
      </c>
      <c r="AB21" s="124"/>
      <c r="AC21" s="124"/>
      <c r="AD21" s="124">
        <f>AA21*AD$70</f>
        <v>7370.5714854113421</v>
      </c>
      <c r="AE21" s="124"/>
      <c r="AF21" s="124"/>
      <c r="AG21" s="124">
        <f>AD21*AG$70</f>
        <v>7635.9120588861506</v>
      </c>
      <c r="AH21" s="124"/>
      <c r="AI21" s="124"/>
      <c r="AJ21" s="124">
        <f>AG21*AJ$70</f>
        <v>7910.8048930060522</v>
      </c>
      <c r="AK21" s="124"/>
      <c r="AL21" s="124"/>
      <c r="AM21" s="124">
        <f>AJ21*AM$70</f>
        <v>8195.5938691542706</v>
      </c>
      <c r="AN21" s="124"/>
      <c r="AO21" s="124"/>
      <c r="AP21" s="124">
        <f>AM21*AP$70</f>
        <v>8490.6352484438248</v>
      </c>
      <c r="AQ21" s="124"/>
      <c r="AR21" s="124"/>
      <c r="AS21" s="124">
        <f>AP21*AS$70</f>
        <v>8796.2981173878034</v>
      </c>
      <c r="AT21" s="124"/>
      <c r="AU21" s="124"/>
      <c r="AV21" s="124">
        <f>AS21*AV$70</f>
        <v>9112.9648496137652</v>
      </c>
      <c r="AW21" s="124"/>
      <c r="AX21" s="124"/>
      <c r="AY21" s="124">
        <f>AV21*AY$70</f>
        <v>9441.0315841998618</v>
      </c>
      <c r="AZ21" s="124"/>
      <c r="BA21" s="124"/>
      <c r="BB21" s="124">
        <f>AY21*BB$70</f>
        <v>9780.9087212310569</v>
      </c>
      <c r="BC21" s="124"/>
      <c r="BD21" s="124"/>
      <c r="BE21" s="124">
        <f>BB21*BE$70</f>
        <v>10133.021435195375</v>
      </c>
      <c r="BF21" s="124"/>
      <c r="BG21" s="124"/>
      <c r="BH21" s="124">
        <f t="shared" si="27"/>
        <v>10497.810206862408</v>
      </c>
      <c r="BI21" s="124"/>
      <c r="BJ21" s="124"/>
      <c r="BK21" s="124">
        <f t="shared" si="28"/>
        <v>10875.731374309455</v>
      </c>
      <c r="BL21" s="124"/>
      <c r="BM21" s="124"/>
      <c r="BN21" s="124">
        <f t="shared" si="29"/>
        <v>11267.257703784595</v>
      </c>
      <c r="BO21" s="124"/>
      <c r="BP21" s="124"/>
      <c r="BQ21" s="124">
        <f t="shared" si="30"/>
        <v>11672.878981120841</v>
      </c>
      <c r="BR21" s="124"/>
      <c r="BS21" s="124"/>
      <c r="BT21" s="129">
        <f t="shared" si="31"/>
        <v>194180.72237591064</v>
      </c>
      <c r="BU21" s="124">
        <v>5342.7969700000003</v>
      </c>
      <c r="BV21" s="124">
        <v>5172.4974099999999</v>
      </c>
      <c r="BW21" s="124">
        <v>4805.7029000000002</v>
      </c>
      <c r="BX21" s="124">
        <v>3948.8932223213201</v>
      </c>
      <c r="BY21" s="124"/>
      <c r="BZ21" s="124"/>
      <c r="CA21" s="124">
        <v>6121.7455681465599</v>
      </c>
      <c r="CB21" s="124"/>
      <c r="CC21" s="124"/>
      <c r="CD21" s="124">
        <f t="shared" si="32"/>
        <v>6342.1284085998359</v>
      </c>
      <c r="CE21" s="124"/>
      <c r="CF21" s="124"/>
      <c r="CG21" s="124">
        <f>CD21*CG$70</f>
        <v>6570.4450313094303</v>
      </c>
      <c r="CH21" s="124"/>
      <c r="CI21" s="124"/>
      <c r="CJ21" s="124">
        <f>CG21*CJ$70</f>
        <v>6806.9810524365703</v>
      </c>
      <c r="CK21" s="124"/>
      <c r="CL21" s="124"/>
      <c r="CM21" s="124">
        <f>CJ21*CM$70</f>
        <v>7052.0323703242866</v>
      </c>
      <c r="CN21" s="124"/>
      <c r="CO21" s="124"/>
      <c r="CP21" s="124">
        <f>CM21*CP$70</f>
        <v>7305.9055356559611</v>
      </c>
      <c r="CQ21" s="124"/>
      <c r="CR21" s="124"/>
      <c r="CS21" s="124">
        <f>CP21*CS$70</f>
        <v>7568.9181349395758</v>
      </c>
      <c r="CT21" s="124"/>
      <c r="CU21" s="124"/>
      <c r="CV21" s="124">
        <f>CS21*CV$70</f>
        <v>7841.3991877974004</v>
      </c>
      <c r="CW21" s="124"/>
      <c r="CX21" s="124"/>
      <c r="CY21" s="124">
        <f>CV21*CY$70</f>
        <v>8123.6895585581069</v>
      </c>
      <c r="CZ21" s="124"/>
      <c r="DA21" s="124"/>
      <c r="DB21" s="124">
        <f>CY21*DB$70</f>
        <v>8416.1423826661994</v>
      </c>
      <c r="DC21" s="124"/>
      <c r="DD21" s="124"/>
      <c r="DE21" s="124">
        <f>DB21*DE$70</f>
        <v>8719.1235084421824</v>
      </c>
      <c r="DF21" s="124"/>
      <c r="DG21" s="124"/>
      <c r="DH21" s="124">
        <f>DE21*DH$70</f>
        <v>9033.0119547461018</v>
      </c>
      <c r="DI21" s="124"/>
      <c r="DJ21" s="124"/>
      <c r="DK21" s="124">
        <f>DH21*DK$70</f>
        <v>9358.2003851169611</v>
      </c>
      <c r="DL21" s="124"/>
      <c r="DM21" s="124"/>
      <c r="DN21" s="124">
        <f>DK21*DN$70</f>
        <v>9695.0955989811719</v>
      </c>
      <c r="DO21" s="124"/>
      <c r="DP21" s="124"/>
      <c r="DQ21" s="124">
        <f>DN21*DQ$70</f>
        <v>10044.119040544494</v>
      </c>
      <c r="DR21" s="124"/>
      <c r="DS21" s="124"/>
      <c r="DT21" s="124">
        <f>DQ21*DT$70</f>
        <v>10405.707326004096</v>
      </c>
      <c r="DU21" s="124"/>
      <c r="DV21" s="124"/>
      <c r="DW21" s="124">
        <f t="shared" si="47"/>
        <v>10780.312789740245</v>
      </c>
      <c r="DX21" s="124"/>
      <c r="DY21" s="124"/>
      <c r="DZ21" s="124">
        <f t="shared" si="48"/>
        <v>11168.404050170893</v>
      </c>
      <c r="EA21" s="124"/>
      <c r="EB21" s="124"/>
      <c r="EC21" s="124">
        <f t="shared" si="49"/>
        <v>11570.466595977046</v>
      </c>
      <c r="ED21" s="124"/>
      <c r="EE21" s="124"/>
      <c r="EF21" s="124">
        <f t="shared" si="50"/>
        <v>11987.00339343222</v>
      </c>
      <c r="EG21" s="124"/>
      <c r="EH21" s="124"/>
      <c r="EI21" s="108"/>
      <c r="EJ21" s="108"/>
      <c r="EK21" s="166">
        <f>E20</f>
        <v>665740.29788537056</v>
      </c>
      <c r="EL21" s="167">
        <f>'[10]Прил 9 подписано'!EK22</f>
        <v>524390.11124920205</v>
      </c>
      <c r="EM21" s="166">
        <f>EK21-EL21</f>
        <v>141350.18663616851</v>
      </c>
      <c r="EN21" s="168">
        <v>-12010.5966590691</v>
      </c>
      <c r="EO21" s="165"/>
    </row>
    <row r="22" spans="1:145">
      <c r="A22" s="125" t="s">
        <v>375</v>
      </c>
      <c r="B22" s="126" t="s">
        <v>376</v>
      </c>
      <c r="C22" s="122" t="s">
        <v>349</v>
      </c>
      <c r="D22" s="128">
        <f t="shared" si="10"/>
        <v>4137318.979339228</v>
      </c>
      <c r="E22" s="129">
        <f t="shared" si="11"/>
        <v>2854032.9667657595</v>
      </c>
      <c r="F22" s="124">
        <v>81253.608840000001</v>
      </c>
      <c r="G22" s="124">
        <v>80724.871289999995</v>
      </c>
      <c r="H22" s="124">
        <v>86284.090460000007</v>
      </c>
      <c r="I22" s="124">
        <v>87593.979860000007</v>
      </c>
      <c r="J22" s="124"/>
      <c r="K22" s="124"/>
      <c r="L22" s="124">
        <v>86334.529345652001</v>
      </c>
      <c r="M22" s="124"/>
      <c r="N22" s="124"/>
      <c r="O22" s="124">
        <f>L22*O$71</f>
        <v>89615.241460786783</v>
      </c>
      <c r="P22" s="124"/>
      <c r="Q22" s="124"/>
      <c r="R22" s="124">
        <f>O22*R$71</f>
        <v>93020.620636296677</v>
      </c>
      <c r="S22" s="124"/>
      <c r="T22" s="124"/>
      <c r="U22" s="124">
        <f>R22*U$71</f>
        <v>96555.404220475961</v>
      </c>
      <c r="V22" s="124"/>
      <c r="W22" s="124"/>
      <c r="X22" s="124">
        <f>U22*X$71</f>
        <v>100224.50958085405</v>
      </c>
      <c r="Y22" s="124"/>
      <c r="Z22" s="124"/>
      <c r="AA22" s="124">
        <f>X22*AA$71</f>
        <v>104033.04094492651</v>
      </c>
      <c r="AB22" s="124"/>
      <c r="AC22" s="124"/>
      <c r="AD22" s="124">
        <f>AA22*AD$71</f>
        <v>107986.29650083372</v>
      </c>
      <c r="AE22" s="124"/>
      <c r="AF22" s="124"/>
      <c r="AG22" s="124">
        <f>AD22*AG$71</f>
        <v>112089.7757678654</v>
      </c>
      <c r="AH22" s="124"/>
      <c r="AI22" s="124"/>
      <c r="AJ22" s="124">
        <f>AG22*AJ$71</f>
        <v>116349.18724704429</v>
      </c>
      <c r="AK22" s="124"/>
      <c r="AL22" s="124"/>
      <c r="AM22" s="124">
        <f>AJ22*AM$71</f>
        <v>120770.45636243197</v>
      </c>
      <c r="AN22" s="124"/>
      <c r="AO22" s="124"/>
      <c r="AP22" s="124">
        <f>AM22*AP$71</f>
        <v>125359.73370420439</v>
      </c>
      <c r="AQ22" s="124"/>
      <c r="AR22" s="124"/>
      <c r="AS22" s="124">
        <f>AP22*AS$71</f>
        <v>130123.40358496417</v>
      </c>
      <c r="AT22" s="124"/>
      <c r="AU22" s="124"/>
      <c r="AV22" s="124">
        <f>AS22*AV$71</f>
        <v>135068.09292119282</v>
      </c>
      <c r="AW22" s="124"/>
      <c r="AX22" s="124"/>
      <c r="AY22" s="124">
        <f>AV22*AY$71</f>
        <v>140200.68045219814</v>
      </c>
      <c r="AZ22" s="124"/>
      <c r="BA22" s="124"/>
      <c r="BB22" s="124">
        <f>AY22*BB$71</f>
        <v>145528.30630938167</v>
      </c>
      <c r="BC22" s="124"/>
      <c r="BD22" s="124"/>
      <c r="BE22" s="124">
        <f>BB22*BE$71</f>
        <v>151058.38194913819</v>
      </c>
      <c r="BF22" s="124"/>
      <c r="BG22" s="124"/>
      <c r="BH22" s="124">
        <f>BE22*BH$71</f>
        <v>156798.60046320545</v>
      </c>
      <c r="BI22" s="124"/>
      <c r="BJ22" s="124"/>
      <c r="BK22" s="124">
        <f>BH22*BK$71</f>
        <v>162756.94728080728</v>
      </c>
      <c r="BL22" s="124"/>
      <c r="BM22" s="124"/>
      <c r="BN22" s="124">
        <f>BK22*BN$71</f>
        <v>168941.71127747797</v>
      </c>
      <c r="BO22" s="124"/>
      <c r="BP22" s="124"/>
      <c r="BQ22" s="124">
        <f>BN22*BQ$71</f>
        <v>175361.49630602213</v>
      </c>
      <c r="BR22" s="124"/>
      <c r="BS22" s="124"/>
      <c r="BT22" s="129">
        <f t="shared" si="31"/>
        <v>1283286.0125734683</v>
      </c>
      <c r="BU22" s="124">
        <v>31923.352180000002</v>
      </c>
      <c r="BV22" s="124">
        <v>28542.144929999999</v>
      </c>
      <c r="BW22" s="124">
        <v>36452.106119999997</v>
      </c>
      <c r="BX22" s="124">
        <v>36378.286820000001</v>
      </c>
      <c r="BY22" s="124"/>
      <c r="BZ22" s="124"/>
      <c r="CA22" s="124">
        <v>39426.886590205802</v>
      </c>
      <c r="CB22" s="124"/>
      <c r="CC22" s="124"/>
      <c r="CD22" s="124">
        <f>CA22*CD$71</f>
        <v>40925.108280633627</v>
      </c>
      <c r="CE22" s="124"/>
      <c r="CF22" s="124"/>
      <c r="CG22" s="124">
        <f>CD22*CG$71</f>
        <v>42480.262395297708</v>
      </c>
      <c r="CH22" s="124"/>
      <c r="CI22" s="124"/>
      <c r="CJ22" s="124">
        <f>CG22*CJ$71</f>
        <v>44094.512366319024</v>
      </c>
      <c r="CK22" s="124"/>
      <c r="CL22" s="124"/>
      <c r="CM22" s="124">
        <f>CJ22*CM$71</f>
        <v>45770.103836239148</v>
      </c>
      <c r="CN22" s="124"/>
      <c r="CO22" s="124"/>
      <c r="CP22" s="124">
        <f>CM22*CP$71</f>
        <v>47509.367782016234</v>
      </c>
      <c r="CQ22" s="124"/>
      <c r="CR22" s="124"/>
      <c r="CS22" s="124">
        <f>CP22*CS$71</f>
        <v>49314.723757732849</v>
      </c>
      <c r="CT22" s="124"/>
      <c r="CU22" s="124"/>
      <c r="CV22" s="124">
        <f>CS22*CV$71</f>
        <v>51188.683260526697</v>
      </c>
      <c r="CW22" s="124"/>
      <c r="CX22" s="124"/>
      <c r="CY22" s="124">
        <f>CV22*CY$71</f>
        <v>53133.853224426712</v>
      </c>
      <c r="CZ22" s="124"/>
      <c r="DA22" s="124"/>
      <c r="DB22" s="124">
        <f>CY22*DB$71</f>
        <v>55152.939646954932</v>
      </c>
      <c r="DC22" s="124"/>
      <c r="DD22" s="124"/>
      <c r="DE22" s="124">
        <f>DB22*DE$71</f>
        <v>57248.751353539221</v>
      </c>
      <c r="DF22" s="124"/>
      <c r="DG22" s="124"/>
      <c r="DH22" s="124">
        <f>DE22*DH$71</f>
        <v>59424.203904973714</v>
      </c>
      <c r="DI22" s="124"/>
      <c r="DJ22" s="124"/>
      <c r="DK22" s="124">
        <f>DH22*DK$71</f>
        <v>61682.323653362721</v>
      </c>
      <c r="DL22" s="124"/>
      <c r="DM22" s="124"/>
      <c r="DN22" s="124">
        <f>DK22*DN$71</f>
        <v>64026.251952190505</v>
      </c>
      <c r="DO22" s="124"/>
      <c r="DP22" s="124"/>
      <c r="DQ22" s="124">
        <f>DN22*DQ$71</f>
        <v>66459.249526373751</v>
      </c>
      <c r="DR22" s="124"/>
      <c r="DS22" s="124"/>
      <c r="DT22" s="124">
        <f>DQ22*DT$71</f>
        <v>68984.701008375952</v>
      </c>
      <c r="DU22" s="124"/>
      <c r="DV22" s="124"/>
      <c r="DW22" s="124">
        <f>DT22*DW$71</f>
        <v>71606.119646694235</v>
      </c>
      <c r="DX22" s="124"/>
      <c r="DY22" s="124"/>
      <c r="DZ22" s="124">
        <f>DW22*DZ$71</f>
        <v>74327.152193268616</v>
      </c>
      <c r="EA22" s="124"/>
      <c r="EB22" s="124"/>
      <c r="EC22" s="124">
        <f>DZ22*EC$71</f>
        <v>77151.583976612819</v>
      </c>
      <c r="ED22" s="124"/>
      <c r="EE22" s="124"/>
      <c r="EF22" s="124">
        <f>EC22*EF$71</f>
        <v>80083.344167724106</v>
      </c>
      <c r="EG22" s="124"/>
      <c r="EH22" s="124"/>
      <c r="EI22" s="108"/>
      <c r="EJ22" s="108"/>
      <c r="EK22" s="166">
        <f>BT20</f>
        <v>142300.6611267853</v>
      </c>
      <c r="EL22" s="167">
        <f>'[10]Прил 9 подписано'!EK23</f>
        <v>115490.41734987</v>
      </c>
      <c r="EM22" s="166">
        <f>EK22-EL22</f>
        <v>26810.243776915304</v>
      </c>
      <c r="EN22" s="168">
        <v>-3605.8860996373401</v>
      </c>
      <c r="EO22" s="165"/>
    </row>
    <row r="23" spans="1:145">
      <c r="A23" s="125" t="s">
        <v>377</v>
      </c>
      <c r="B23" s="126" t="s">
        <v>378</v>
      </c>
      <c r="C23" s="122" t="s">
        <v>349</v>
      </c>
      <c r="D23" s="128">
        <f t="shared" ref="D23:I23" si="51">D24+D27+D36+D40+D42</f>
        <v>1651070.9938161122</v>
      </c>
      <c r="E23" s="123">
        <f t="shared" si="51"/>
        <v>808235.45633252815</v>
      </c>
      <c r="F23" s="124">
        <f t="shared" si="51"/>
        <v>19427.293023120506</v>
      </c>
      <c r="G23" s="124">
        <f t="shared" si="51"/>
        <v>24584.790603920763</v>
      </c>
      <c r="H23" s="124">
        <f t="shared" si="51"/>
        <v>35498.333848629925</v>
      </c>
      <c r="I23" s="124">
        <f t="shared" si="51"/>
        <v>47545.135320000001</v>
      </c>
      <c r="J23" s="124"/>
      <c r="K23" s="124"/>
      <c r="L23" s="124">
        <f>L24+L27+L36+L40+L42</f>
        <v>23258.861821259437</v>
      </c>
      <c r="M23" s="124"/>
      <c r="N23" s="124"/>
      <c r="O23" s="124">
        <f>O24+O27+O36+O40+O42</f>
        <v>23424.675765094635</v>
      </c>
      <c r="P23" s="124"/>
      <c r="Q23" s="124"/>
      <c r="R23" s="124">
        <f>R24+R27+R36+R40+R42</f>
        <v>24268.761136108449</v>
      </c>
      <c r="S23" s="124"/>
      <c r="T23" s="124"/>
      <c r="U23" s="124">
        <f>U24+U27+U36+U40+U42</f>
        <v>26057.800534386453</v>
      </c>
      <c r="V23" s="124"/>
      <c r="W23" s="124"/>
      <c r="X23" s="124">
        <f>X24+X27+X36+X40+X42</f>
        <v>27346.471070168431</v>
      </c>
      <c r="Y23" s="124"/>
      <c r="Z23" s="124"/>
      <c r="AA23" s="124">
        <f>AA24+AA27+AA36+AA40+AA42</f>
        <v>28084.798232267382</v>
      </c>
      <c r="AB23" s="124"/>
      <c r="AC23" s="124"/>
      <c r="AD23" s="124">
        <f>AD24+AD27+AD36+AD40+AD42</f>
        <v>31011.261368551724</v>
      </c>
      <c r="AE23" s="124"/>
      <c r="AF23" s="124"/>
      <c r="AG23" s="124">
        <f>AG24+AG27+AG36+AG40+AG42</f>
        <v>36286.954346103295</v>
      </c>
      <c r="AH23" s="124"/>
      <c r="AI23" s="124"/>
      <c r="AJ23" s="124">
        <f>AJ24+AJ27+AJ36+AJ40+AJ42</f>
        <v>35473.712827873271</v>
      </c>
      <c r="AK23" s="124"/>
      <c r="AL23" s="124"/>
      <c r="AM23" s="124">
        <f>AM24+AM27+AM36+AM40+AM42</f>
        <v>35480.500929361435</v>
      </c>
      <c r="AN23" s="124"/>
      <c r="AO23" s="124"/>
      <c r="AP23" s="124">
        <f>AP24+AP27+AP36+AP40+AP42</f>
        <v>35476.665981668753</v>
      </c>
      <c r="AQ23" s="124"/>
      <c r="AR23" s="124"/>
      <c r="AS23" s="124">
        <f>AS24+AS27+AS36+AS40+AS42</f>
        <v>36094.168061788681</v>
      </c>
      <c r="AT23" s="124"/>
      <c r="AU23" s="124"/>
      <c r="AV23" s="124">
        <f>AV24+AV27+AV36+AV40+AV42</f>
        <v>36747.799198943168</v>
      </c>
      <c r="AW23" s="124"/>
      <c r="AX23" s="124"/>
      <c r="AY23" s="124">
        <f>AY24+AY27+AY36+AY40+AY42</f>
        <v>37425.084151023671</v>
      </c>
      <c r="AZ23" s="124"/>
      <c r="BA23" s="124"/>
      <c r="BB23" s="124">
        <f>BB24+BB27+BB36+BB40+BB42</f>
        <v>37114.587056931778</v>
      </c>
      <c r="BC23" s="124"/>
      <c r="BD23" s="124"/>
      <c r="BE23" s="124">
        <f>BE24+BE27+BE36+BE40+BE42</f>
        <v>39453.474631801655</v>
      </c>
      <c r="BF23" s="124"/>
      <c r="BG23" s="124"/>
      <c r="BH23" s="124">
        <f>BH24+BH27+BH36+BH40+BH42</f>
        <v>39837.839525287694</v>
      </c>
      <c r="BI23" s="124"/>
      <c r="BJ23" s="124"/>
      <c r="BK23" s="124">
        <f>BK24+BK27+BK36+BK40+BK42</f>
        <v>41273.522258924648</v>
      </c>
      <c r="BL23" s="124"/>
      <c r="BM23" s="124"/>
      <c r="BN23" s="124">
        <f>BN24+BN27+BN36+BN40+BN42</f>
        <v>42760.956473444501</v>
      </c>
      <c r="BO23" s="124"/>
      <c r="BP23" s="124"/>
      <c r="BQ23" s="124">
        <f t="shared" ref="BQ23:BX23" si="52">BQ24+BQ27+BQ36+BQ40+BQ42</f>
        <v>44302.008165867817</v>
      </c>
      <c r="BR23" s="124"/>
      <c r="BS23" s="124"/>
      <c r="BT23" s="160">
        <f t="shared" si="52"/>
        <v>842835.53748358425</v>
      </c>
      <c r="BU23" s="124">
        <f t="shared" si="52"/>
        <v>18693.908853679022</v>
      </c>
      <c r="BV23" s="124">
        <f t="shared" si="52"/>
        <v>24791.829182628877</v>
      </c>
      <c r="BW23" s="124">
        <f t="shared" si="52"/>
        <v>31941.360624703411</v>
      </c>
      <c r="BX23" s="124">
        <f t="shared" si="52"/>
        <v>39891.936990000002</v>
      </c>
      <c r="BY23" s="124"/>
      <c r="BZ23" s="124"/>
      <c r="CA23" s="124">
        <f>CA24+CA27+CA36+CA40+CA42</f>
        <v>23329.458407102782</v>
      </c>
      <c r="CB23" s="124"/>
      <c r="CC23" s="124"/>
      <c r="CD23" s="124">
        <f>CD24+CD27+CD36+CD40+CD42</f>
        <v>24644.155966686481</v>
      </c>
      <c r="CE23" s="124"/>
      <c r="CF23" s="124"/>
      <c r="CG23" s="124">
        <f>CG24+CG27+CG36+CG40+CG42</f>
        <v>26104.9167704184</v>
      </c>
      <c r="CH23" s="124"/>
      <c r="CI23" s="124"/>
      <c r="CJ23" s="124">
        <f>CJ24+CJ27+CJ36+CJ40+CJ42</f>
        <v>26817.637221353023</v>
      </c>
      <c r="CK23" s="124"/>
      <c r="CL23" s="124"/>
      <c r="CM23" s="124">
        <f>CM24+CM27+CM36+CM40+CM42</f>
        <v>28262.075884931444</v>
      </c>
      <c r="CN23" s="124"/>
      <c r="CO23" s="124"/>
      <c r="CP23" s="124">
        <f>CP24+CP27+CP36+CP40+CP42</f>
        <v>30749.073362212632</v>
      </c>
      <c r="CQ23" s="124"/>
      <c r="CR23" s="124"/>
      <c r="CS23" s="124">
        <f>CS24+CS27+CS36+CS40+CS42</f>
        <v>31594.698672853043</v>
      </c>
      <c r="CT23" s="124"/>
      <c r="CU23" s="124"/>
      <c r="CV23" s="124">
        <f>CV24+CV27+CV36+CV40+CV42</f>
        <v>33711.731879148909</v>
      </c>
      <c r="CW23" s="124"/>
      <c r="CX23" s="124"/>
      <c r="CY23" s="124">
        <f>CY24+CY27+CY36+CY40+CY42</f>
        <v>36981.203417636403</v>
      </c>
      <c r="CZ23" s="124"/>
      <c r="DA23" s="124"/>
      <c r="DB23" s="124">
        <f>DB24+DB27+DB36+DB40+DB42</f>
        <v>37484.262712190335</v>
      </c>
      <c r="DC23" s="124"/>
      <c r="DD23" s="124"/>
      <c r="DE23" s="124">
        <f>DE24+DE27+DE36+DE40+DE42</f>
        <v>37994.205005701784</v>
      </c>
      <c r="DF23" s="124"/>
      <c r="DG23" s="124"/>
      <c r="DH23" s="124">
        <f>DH24+DH27+DH36+DH40+DH42</f>
        <v>38998.985879509171</v>
      </c>
      <c r="DI23" s="124"/>
      <c r="DJ23" s="124"/>
      <c r="DK23" s="124">
        <f>DK24+DK27+DK36+DK40+DK42</f>
        <v>40059.493980673324</v>
      </c>
      <c r="DL23" s="124"/>
      <c r="DM23" s="124"/>
      <c r="DN23" s="124">
        <f>DN24+DN27+DN36+DN40+DN42</f>
        <v>41169.020252812901</v>
      </c>
      <c r="DO23" s="124"/>
      <c r="DP23" s="124"/>
      <c r="DQ23" s="124">
        <f>DQ24+DQ27+DQ36+DQ40+DQ42</f>
        <v>41358.761085505786</v>
      </c>
      <c r="DR23" s="124"/>
      <c r="DS23" s="124"/>
      <c r="DT23" s="124">
        <f>DT24+DT27+DT36+DT40+DT42</f>
        <v>42295.351135238372</v>
      </c>
      <c r="DU23" s="124"/>
      <c r="DV23" s="124"/>
      <c r="DW23" s="124">
        <f>DW24+DW27+DW36+DW40+DW42</f>
        <v>43714.808099572416</v>
      </c>
      <c r="DX23" s="124"/>
      <c r="DY23" s="124"/>
      <c r="DZ23" s="124">
        <f>DZ24+DZ27+DZ36+DZ40+DZ42</f>
        <v>45514.82162801495</v>
      </c>
      <c r="EA23" s="124"/>
      <c r="EB23" s="124"/>
      <c r="EC23" s="124">
        <f>EC24+EC27+EC36+EC40+EC42</f>
        <v>47389.591982703176</v>
      </c>
      <c r="ED23" s="124"/>
      <c r="EE23" s="124"/>
      <c r="EF23" s="124">
        <f>EF24+EF27+EF36+EF40+EF42</f>
        <v>49342.248488307669</v>
      </c>
      <c r="EG23" s="124"/>
      <c r="EH23" s="124"/>
    </row>
    <row r="24" spans="1:145" ht="30">
      <c r="A24" s="125" t="s">
        <v>379</v>
      </c>
      <c r="B24" s="126" t="s">
        <v>380</v>
      </c>
      <c r="C24" s="122" t="s">
        <v>349</v>
      </c>
      <c r="D24" s="128">
        <f t="shared" ref="D24:I24" si="53">D25+D26</f>
        <v>491122.06205499946</v>
      </c>
      <c r="E24" s="123">
        <f t="shared" si="53"/>
        <v>3950.5994971649166</v>
      </c>
      <c r="F24" s="124">
        <f t="shared" si="53"/>
        <v>440.39537999999999</v>
      </c>
      <c r="G24" s="124">
        <f t="shared" si="53"/>
        <v>539.80962</v>
      </c>
      <c r="H24" s="124">
        <f t="shared" si="53"/>
        <v>7.7380800000000001</v>
      </c>
      <c r="I24" s="124">
        <f t="shared" si="53"/>
        <v>0</v>
      </c>
      <c r="J24" s="124"/>
      <c r="K24" s="124"/>
      <c r="L24" s="124">
        <f>L25+L26</f>
        <v>95.431449999999998</v>
      </c>
      <c r="M24" s="124"/>
      <c r="N24" s="124"/>
      <c r="O24" s="124">
        <f>O25+O26</f>
        <v>99.630433800000006</v>
      </c>
      <c r="P24" s="124"/>
      <c r="Q24" s="124"/>
      <c r="R24" s="124">
        <f>R25+R26</f>
        <v>104.0141728872</v>
      </c>
      <c r="S24" s="124"/>
      <c r="T24" s="124"/>
      <c r="U24" s="124">
        <f>U25+U26</f>
        <v>108.59079649423681</v>
      </c>
      <c r="V24" s="124"/>
      <c r="W24" s="124"/>
      <c r="X24" s="124">
        <f>X25+X26</f>
        <v>113.36879153998323</v>
      </c>
      <c r="Y24" s="124"/>
      <c r="Z24" s="124"/>
      <c r="AA24" s="124">
        <f>AA25+AA26</f>
        <v>118.3570183677425</v>
      </c>
      <c r="AB24" s="124"/>
      <c r="AC24" s="124"/>
      <c r="AD24" s="124">
        <f>AD25+AD26</f>
        <v>123.56472717592317</v>
      </c>
      <c r="AE24" s="124"/>
      <c r="AF24" s="124"/>
      <c r="AG24" s="124">
        <f>AG25+AG26</f>
        <v>129.0015751716638</v>
      </c>
      <c r="AH24" s="124"/>
      <c r="AI24" s="124"/>
      <c r="AJ24" s="124">
        <f>AJ25+AJ26</f>
        <v>134.67764447921701</v>
      </c>
      <c r="AK24" s="124"/>
      <c r="AL24" s="124"/>
      <c r="AM24" s="124">
        <f>AM25+AM26</f>
        <v>140.60346083630256</v>
      </c>
      <c r="AN24" s="124"/>
      <c r="AO24" s="124"/>
      <c r="AP24" s="124">
        <f>AP25+AP26</f>
        <v>146.79001311309989</v>
      </c>
      <c r="AQ24" s="124"/>
      <c r="AR24" s="124"/>
      <c r="AS24" s="124">
        <f>AS25+AS26</f>
        <v>153.24877369007629</v>
      </c>
      <c r="AT24" s="124"/>
      <c r="AU24" s="124"/>
      <c r="AV24" s="124">
        <f>AV25+AV26</f>
        <v>159.99171973243966</v>
      </c>
      <c r="AW24" s="124"/>
      <c r="AX24" s="124"/>
      <c r="AY24" s="124">
        <f>AY25+AY26</f>
        <v>167.03135540066702</v>
      </c>
      <c r="AZ24" s="124"/>
      <c r="BA24" s="124"/>
      <c r="BB24" s="124">
        <f>BB25+BB26</f>
        <v>174.38073503829639</v>
      </c>
      <c r="BC24" s="124"/>
      <c r="BD24" s="124"/>
      <c r="BE24" s="124">
        <f>BE25+BE26</f>
        <v>182.05348737998145</v>
      </c>
      <c r="BF24" s="124"/>
      <c r="BG24" s="124"/>
      <c r="BH24" s="124">
        <f>BH25+BH26</f>
        <v>190.06384082470063</v>
      </c>
      <c r="BI24" s="124"/>
      <c r="BJ24" s="124"/>
      <c r="BK24" s="124">
        <f>BK25+BK26</f>
        <v>198.42664982098748</v>
      </c>
      <c r="BL24" s="124"/>
      <c r="BM24" s="124"/>
      <c r="BN24" s="124">
        <f>BN25+BN26</f>
        <v>207.15742241311094</v>
      </c>
      <c r="BO24" s="124"/>
      <c r="BP24" s="124"/>
      <c r="BQ24" s="124">
        <f t="shared" ref="BQ24:BX24" si="54">BQ25+BQ26</f>
        <v>216.27234899928783</v>
      </c>
      <c r="BR24" s="124"/>
      <c r="BS24" s="124"/>
      <c r="BT24" s="160">
        <f t="shared" ref="BT24:BT26" si="55">SUM(BU24:EH24)</f>
        <v>487171.46255783457</v>
      </c>
      <c r="BU24" s="124">
        <f t="shared" si="54"/>
        <v>9231.5905000000002</v>
      </c>
      <c r="BV24" s="124">
        <f t="shared" si="54"/>
        <v>11836.052600000001</v>
      </c>
      <c r="BW24" s="124">
        <f t="shared" si="54"/>
        <v>12590.9236</v>
      </c>
      <c r="BX24" s="124">
        <f t="shared" si="54"/>
        <v>12614.2053</v>
      </c>
      <c r="BY24" s="124"/>
      <c r="BZ24" s="124"/>
      <c r="CA24" s="124">
        <f>CA25+CA26</f>
        <v>14201.9847793553</v>
      </c>
      <c r="CB24" s="124"/>
      <c r="CC24" s="124"/>
      <c r="CD24" s="124">
        <f>CD25+CD26</f>
        <v>14826.872109646934</v>
      </c>
      <c r="CE24" s="124"/>
      <c r="CF24" s="124"/>
      <c r="CG24" s="124">
        <f>CG25+CG26</f>
        <v>15479.2544824714</v>
      </c>
      <c r="CH24" s="124"/>
      <c r="CI24" s="124"/>
      <c r="CJ24" s="124">
        <f>CJ25+CJ26</f>
        <v>16160.341679700143</v>
      </c>
      <c r="CK24" s="124"/>
      <c r="CL24" s="124"/>
      <c r="CM24" s="124">
        <f>CM25+CM26</f>
        <v>16871.396713606951</v>
      </c>
      <c r="CN24" s="124"/>
      <c r="CO24" s="124"/>
      <c r="CP24" s="124">
        <f>CP25+CP26</f>
        <v>17613.738169005657</v>
      </c>
      <c r="CQ24" s="124"/>
      <c r="CR24" s="124"/>
      <c r="CS24" s="124">
        <f>CS25+CS26</f>
        <v>18388.742648441908</v>
      </c>
      <c r="CT24" s="124"/>
      <c r="CU24" s="124"/>
      <c r="CV24" s="124">
        <f>CV25+CV26</f>
        <v>19197.847324973354</v>
      </c>
      <c r="CW24" s="124"/>
      <c r="CX24" s="124"/>
      <c r="CY24" s="124">
        <f>CY25+CY26</f>
        <v>20042.552607272184</v>
      </c>
      <c r="CZ24" s="124"/>
      <c r="DA24" s="124"/>
      <c r="DB24" s="124">
        <f>DB25+DB26</f>
        <v>20924.424921992162</v>
      </c>
      <c r="DC24" s="124"/>
      <c r="DD24" s="124"/>
      <c r="DE24" s="124">
        <f>DE25+DE26</f>
        <v>21845.09961855982</v>
      </c>
      <c r="DF24" s="124"/>
      <c r="DG24" s="124"/>
      <c r="DH24" s="124">
        <f>DH25+DH26</f>
        <v>22806.284001776454</v>
      </c>
      <c r="DI24" s="124"/>
      <c r="DJ24" s="124"/>
      <c r="DK24" s="124">
        <f>DK25+DK26</f>
        <v>23809.760497854619</v>
      </c>
      <c r="DL24" s="124"/>
      <c r="DM24" s="124"/>
      <c r="DN24" s="124">
        <f>DN25+DN26</f>
        <v>24857.389959760221</v>
      </c>
      <c r="DO24" s="124"/>
      <c r="DP24" s="124"/>
      <c r="DQ24" s="124">
        <f>DQ25+DQ26</f>
        <v>25951.115117989673</v>
      </c>
      <c r="DR24" s="124"/>
      <c r="DS24" s="124"/>
      <c r="DT24" s="124">
        <f>DT25+DT26</f>
        <v>27092.964183181219</v>
      </c>
      <c r="DU24" s="124"/>
      <c r="DV24" s="124"/>
      <c r="DW24" s="124">
        <f>DW25+DW26</f>
        <v>28285.054607241193</v>
      </c>
      <c r="DX24" s="124"/>
      <c r="DY24" s="124"/>
      <c r="DZ24" s="124">
        <f>DZ25+DZ26</f>
        <v>29529.597009959805</v>
      </c>
      <c r="EA24" s="124"/>
      <c r="EB24" s="124"/>
      <c r="EC24" s="124">
        <f>EC25+EC26</f>
        <v>30828.899278398039</v>
      </c>
      <c r="ED24" s="124"/>
      <c r="EE24" s="124"/>
      <c r="EF24" s="124">
        <f>EF25+EF26</f>
        <v>32185.370846647555</v>
      </c>
      <c r="EG24" s="124"/>
      <c r="EH24" s="124"/>
    </row>
    <row r="25" spans="1:145">
      <c r="A25" s="125" t="s">
        <v>381</v>
      </c>
      <c r="B25" s="126" t="s">
        <v>656</v>
      </c>
      <c r="C25" s="122" t="s">
        <v>349</v>
      </c>
      <c r="D25" s="128">
        <f>E25+BT25</f>
        <v>491122.06205499946</v>
      </c>
      <c r="E25" s="129">
        <f>SUM(F25:BS25)</f>
        <v>3950.5994971649166</v>
      </c>
      <c r="F25" s="124">
        <v>440.39537999999999</v>
      </c>
      <c r="G25" s="124">
        <v>539.80962</v>
      </c>
      <c r="H25" s="124">
        <v>7.7380800000000001</v>
      </c>
      <c r="I25" s="124">
        <v>0</v>
      </c>
      <c r="J25" s="124"/>
      <c r="K25" s="124"/>
      <c r="L25" s="124">
        <v>95.431449999999998</v>
      </c>
      <c r="M25" s="124"/>
      <c r="N25" s="124"/>
      <c r="O25" s="124">
        <f>L25*O$72</f>
        <v>99.630433800000006</v>
      </c>
      <c r="P25" s="124"/>
      <c r="Q25" s="124"/>
      <c r="R25" s="124">
        <f>O25*R$72</f>
        <v>104.0141728872</v>
      </c>
      <c r="S25" s="124"/>
      <c r="T25" s="124"/>
      <c r="U25" s="124">
        <f>R25*U$72</f>
        <v>108.59079649423681</v>
      </c>
      <c r="V25" s="124"/>
      <c r="W25" s="124"/>
      <c r="X25" s="124">
        <f>U25*X$72</f>
        <v>113.36879153998323</v>
      </c>
      <c r="Y25" s="124"/>
      <c r="Z25" s="124"/>
      <c r="AA25" s="124">
        <f>X25*AA$72</f>
        <v>118.3570183677425</v>
      </c>
      <c r="AB25" s="124"/>
      <c r="AC25" s="124"/>
      <c r="AD25" s="124">
        <f>AA25*AD$72</f>
        <v>123.56472717592317</v>
      </c>
      <c r="AE25" s="124"/>
      <c r="AF25" s="124"/>
      <c r="AG25" s="124">
        <f>AD25*AG$72</f>
        <v>129.0015751716638</v>
      </c>
      <c r="AH25" s="124"/>
      <c r="AI25" s="124"/>
      <c r="AJ25" s="124">
        <f>AG25*AJ$72</f>
        <v>134.67764447921701</v>
      </c>
      <c r="AK25" s="124"/>
      <c r="AL25" s="124"/>
      <c r="AM25" s="124">
        <f>AJ25*AM$72</f>
        <v>140.60346083630256</v>
      </c>
      <c r="AN25" s="124"/>
      <c r="AO25" s="124"/>
      <c r="AP25" s="124">
        <f>AM25*AP$72</f>
        <v>146.79001311309989</v>
      </c>
      <c r="AQ25" s="124"/>
      <c r="AR25" s="124"/>
      <c r="AS25" s="124">
        <f>AP25*AS$72</f>
        <v>153.24877369007629</v>
      </c>
      <c r="AT25" s="124"/>
      <c r="AU25" s="124"/>
      <c r="AV25" s="124">
        <f>AS25*AV$72</f>
        <v>159.99171973243966</v>
      </c>
      <c r="AW25" s="124"/>
      <c r="AX25" s="124"/>
      <c r="AY25" s="124">
        <f>AV25*AY$72</f>
        <v>167.03135540066702</v>
      </c>
      <c r="AZ25" s="124"/>
      <c r="BA25" s="124"/>
      <c r="BB25" s="124">
        <f>AY25*BB$72</f>
        <v>174.38073503829639</v>
      </c>
      <c r="BC25" s="124"/>
      <c r="BD25" s="124"/>
      <c r="BE25" s="124">
        <f>BB25*BE$72</f>
        <v>182.05348737998145</v>
      </c>
      <c r="BF25" s="124"/>
      <c r="BG25" s="124"/>
      <c r="BH25" s="124">
        <f>BE25*BH$72</f>
        <v>190.06384082470063</v>
      </c>
      <c r="BI25" s="124"/>
      <c r="BJ25" s="124"/>
      <c r="BK25" s="124">
        <f>BH25*BK$72</f>
        <v>198.42664982098748</v>
      </c>
      <c r="BL25" s="124"/>
      <c r="BM25" s="124"/>
      <c r="BN25" s="124">
        <f>BK25*BN$72</f>
        <v>207.15742241311094</v>
      </c>
      <c r="BO25" s="124"/>
      <c r="BP25" s="124"/>
      <c r="BQ25" s="124">
        <f>BN25*BQ$72</f>
        <v>216.27234899928783</v>
      </c>
      <c r="BR25" s="124"/>
      <c r="BS25" s="124"/>
      <c r="BT25" s="160">
        <f t="shared" si="55"/>
        <v>487171.46255783457</v>
      </c>
      <c r="BU25" s="124">
        <v>9231.5905000000002</v>
      </c>
      <c r="BV25" s="124">
        <v>11836.052600000001</v>
      </c>
      <c r="BW25" s="124">
        <v>12590.9236</v>
      </c>
      <c r="BX25" s="124">
        <v>12614.2053</v>
      </c>
      <c r="BY25" s="124"/>
      <c r="BZ25" s="124"/>
      <c r="CA25" s="124">
        <v>14201.9847793553</v>
      </c>
      <c r="CB25" s="124"/>
      <c r="CC25" s="124"/>
      <c r="CD25" s="124">
        <f>CA25*CD$72</f>
        <v>14826.872109646934</v>
      </c>
      <c r="CE25" s="124"/>
      <c r="CF25" s="124"/>
      <c r="CG25" s="124">
        <f>CD25*CG$72</f>
        <v>15479.2544824714</v>
      </c>
      <c r="CH25" s="124"/>
      <c r="CI25" s="124"/>
      <c r="CJ25" s="124">
        <f>CG25*CJ$72</f>
        <v>16160.341679700143</v>
      </c>
      <c r="CK25" s="124"/>
      <c r="CL25" s="124"/>
      <c r="CM25" s="124">
        <f>CJ25*CM$72</f>
        <v>16871.396713606951</v>
      </c>
      <c r="CN25" s="124"/>
      <c r="CO25" s="124"/>
      <c r="CP25" s="124">
        <f>CM25*CP$72</f>
        <v>17613.738169005657</v>
      </c>
      <c r="CQ25" s="124"/>
      <c r="CR25" s="124"/>
      <c r="CS25" s="124">
        <f>CP25*CS$72</f>
        <v>18388.742648441908</v>
      </c>
      <c r="CT25" s="124"/>
      <c r="CU25" s="124"/>
      <c r="CV25" s="124">
        <f>CS25*CV$72</f>
        <v>19197.847324973354</v>
      </c>
      <c r="CW25" s="124"/>
      <c r="CX25" s="124"/>
      <c r="CY25" s="124">
        <f>CV25*CY$72</f>
        <v>20042.552607272184</v>
      </c>
      <c r="CZ25" s="124"/>
      <c r="DA25" s="124"/>
      <c r="DB25" s="124">
        <f>CY25*DB$72</f>
        <v>20924.424921992162</v>
      </c>
      <c r="DC25" s="124"/>
      <c r="DD25" s="124"/>
      <c r="DE25" s="124">
        <f>DB25*DE$72</f>
        <v>21845.09961855982</v>
      </c>
      <c r="DF25" s="124"/>
      <c r="DG25" s="124"/>
      <c r="DH25" s="124">
        <f>DE25*DH$72</f>
        <v>22806.284001776454</v>
      </c>
      <c r="DI25" s="124"/>
      <c r="DJ25" s="124"/>
      <c r="DK25" s="124">
        <f>DH25*DK$72</f>
        <v>23809.760497854619</v>
      </c>
      <c r="DL25" s="124"/>
      <c r="DM25" s="124"/>
      <c r="DN25" s="124">
        <f>DK25*DN$72</f>
        <v>24857.389959760221</v>
      </c>
      <c r="DO25" s="124"/>
      <c r="DP25" s="124"/>
      <c r="DQ25" s="124">
        <f>DN25*DQ$72</f>
        <v>25951.115117989673</v>
      </c>
      <c r="DR25" s="124"/>
      <c r="DS25" s="124"/>
      <c r="DT25" s="124">
        <f>DQ25*DT$72</f>
        <v>27092.964183181219</v>
      </c>
      <c r="DU25" s="124"/>
      <c r="DV25" s="124"/>
      <c r="DW25" s="124">
        <f>DT25*DW$72</f>
        <v>28285.054607241193</v>
      </c>
      <c r="DX25" s="124"/>
      <c r="DY25" s="124"/>
      <c r="DZ25" s="124">
        <f>DW25*DZ$72</f>
        <v>29529.597009959805</v>
      </c>
      <c r="EA25" s="124"/>
      <c r="EB25" s="124"/>
      <c r="EC25" s="124">
        <f>DZ25*EC$72</f>
        <v>30828.899278398039</v>
      </c>
      <c r="ED25" s="124"/>
      <c r="EE25" s="124"/>
      <c r="EF25" s="124">
        <f>EC25*EF$72</f>
        <v>32185.370846647555</v>
      </c>
      <c r="EG25" s="124"/>
      <c r="EH25" s="124"/>
    </row>
    <row r="26" spans="1:145">
      <c r="A26" s="125" t="s">
        <v>383</v>
      </c>
      <c r="B26" s="126" t="s">
        <v>384</v>
      </c>
      <c r="C26" s="122" t="s">
        <v>349</v>
      </c>
      <c r="D26" s="128">
        <f>E26+BT26</f>
        <v>0</v>
      </c>
      <c r="E26" s="129">
        <f>SUM(F26:BS26)</f>
        <v>0</v>
      </c>
      <c r="F26" s="124">
        <v>0</v>
      </c>
      <c r="G26" s="124">
        <v>0</v>
      </c>
      <c r="H26" s="124">
        <v>0</v>
      </c>
      <c r="I26" s="124">
        <v>0</v>
      </c>
      <c r="J26" s="124"/>
      <c r="K26" s="124"/>
      <c r="L26" s="124">
        <v>0</v>
      </c>
      <c r="M26" s="124"/>
      <c r="N26" s="124"/>
      <c r="O26" s="124">
        <f>L26*O$72</f>
        <v>0</v>
      </c>
      <c r="P26" s="124"/>
      <c r="Q26" s="124"/>
      <c r="R26" s="124">
        <f>O26*R$72</f>
        <v>0</v>
      </c>
      <c r="S26" s="124"/>
      <c r="T26" s="124"/>
      <c r="U26" s="124">
        <f>R26*U$72</f>
        <v>0</v>
      </c>
      <c r="V26" s="124"/>
      <c r="W26" s="124"/>
      <c r="X26" s="124">
        <f>U26*X$72</f>
        <v>0</v>
      </c>
      <c r="Y26" s="124"/>
      <c r="Z26" s="124"/>
      <c r="AA26" s="124">
        <f>X26*AA$72</f>
        <v>0</v>
      </c>
      <c r="AB26" s="124"/>
      <c r="AC26" s="124"/>
      <c r="AD26" s="124">
        <f>AA26*AD$72</f>
        <v>0</v>
      </c>
      <c r="AE26" s="124"/>
      <c r="AF26" s="124"/>
      <c r="AG26" s="124">
        <f>AD26*AG$72</f>
        <v>0</v>
      </c>
      <c r="AH26" s="124"/>
      <c r="AI26" s="124"/>
      <c r="AJ26" s="124">
        <f>AG26*AJ$72</f>
        <v>0</v>
      </c>
      <c r="AK26" s="124"/>
      <c r="AL26" s="124"/>
      <c r="AM26" s="124">
        <f>AJ26*AM$72</f>
        <v>0</v>
      </c>
      <c r="AN26" s="124"/>
      <c r="AO26" s="124"/>
      <c r="AP26" s="124">
        <f>AM26*AP$72</f>
        <v>0</v>
      </c>
      <c r="AQ26" s="124"/>
      <c r="AR26" s="124"/>
      <c r="AS26" s="124">
        <f>AP26*AS$72</f>
        <v>0</v>
      </c>
      <c r="AT26" s="124"/>
      <c r="AU26" s="124"/>
      <c r="AV26" s="124">
        <f>AS26*AV$72</f>
        <v>0</v>
      </c>
      <c r="AW26" s="124"/>
      <c r="AX26" s="124"/>
      <c r="AY26" s="124">
        <f>AV26*AY$72</f>
        <v>0</v>
      </c>
      <c r="AZ26" s="124"/>
      <c r="BA26" s="124"/>
      <c r="BB26" s="124">
        <f>AY26*BB$72</f>
        <v>0</v>
      </c>
      <c r="BC26" s="124"/>
      <c r="BD26" s="124"/>
      <c r="BE26" s="124">
        <f>BB26*BE$72</f>
        <v>0</v>
      </c>
      <c r="BF26" s="124"/>
      <c r="BG26" s="124"/>
      <c r="BH26" s="124">
        <f>BE26*BH$72</f>
        <v>0</v>
      </c>
      <c r="BI26" s="124"/>
      <c r="BJ26" s="124"/>
      <c r="BK26" s="124">
        <f>BH26*BK$72</f>
        <v>0</v>
      </c>
      <c r="BL26" s="124"/>
      <c r="BM26" s="124"/>
      <c r="BN26" s="124">
        <f>BK26*BN$72</f>
        <v>0</v>
      </c>
      <c r="BO26" s="124"/>
      <c r="BP26" s="124"/>
      <c r="BQ26" s="124">
        <f>BN26*BQ$72</f>
        <v>0</v>
      </c>
      <c r="BR26" s="124"/>
      <c r="BS26" s="124"/>
      <c r="BT26" s="160">
        <f t="shared" si="55"/>
        <v>0</v>
      </c>
      <c r="BU26" s="124">
        <v>0</v>
      </c>
      <c r="BV26" s="124">
        <v>0</v>
      </c>
      <c r="BW26" s="124">
        <v>0</v>
      </c>
      <c r="BX26" s="124">
        <v>0</v>
      </c>
      <c r="BY26" s="124"/>
      <c r="BZ26" s="124"/>
      <c r="CA26" s="124">
        <v>0</v>
      </c>
      <c r="CB26" s="124"/>
      <c r="CC26" s="124"/>
      <c r="CD26" s="124">
        <v>0</v>
      </c>
      <c r="CE26" s="124"/>
      <c r="CF26" s="124"/>
      <c r="CG26" s="124">
        <v>0</v>
      </c>
      <c r="CH26" s="124"/>
      <c r="CI26" s="124"/>
      <c r="CJ26" s="124">
        <v>0</v>
      </c>
      <c r="CK26" s="124"/>
      <c r="CL26" s="124"/>
      <c r="CM26" s="124">
        <v>0</v>
      </c>
      <c r="CN26" s="124"/>
      <c r="CO26" s="124"/>
      <c r="CP26" s="124">
        <v>0</v>
      </c>
      <c r="CQ26" s="124"/>
      <c r="CR26" s="124"/>
      <c r="CS26" s="124">
        <v>0</v>
      </c>
      <c r="CT26" s="124"/>
      <c r="CU26" s="124"/>
      <c r="CV26" s="124">
        <v>0</v>
      </c>
      <c r="CW26" s="124"/>
      <c r="CX26" s="124"/>
      <c r="CY26" s="124">
        <v>0</v>
      </c>
      <c r="CZ26" s="124"/>
      <c r="DA26" s="124"/>
      <c r="DB26" s="124">
        <v>0</v>
      </c>
      <c r="DC26" s="124"/>
      <c r="DD26" s="124"/>
      <c r="DE26" s="124">
        <v>0</v>
      </c>
      <c r="DF26" s="124"/>
      <c r="DG26" s="124"/>
      <c r="DH26" s="124">
        <v>0</v>
      </c>
      <c r="DI26" s="124"/>
      <c r="DJ26" s="124"/>
      <c r="DK26" s="124">
        <v>0</v>
      </c>
      <c r="DL26" s="124"/>
      <c r="DM26" s="124"/>
      <c r="DN26" s="124">
        <v>0</v>
      </c>
      <c r="DO26" s="124"/>
      <c r="DP26" s="124"/>
      <c r="DQ26" s="124">
        <v>0</v>
      </c>
      <c r="DR26" s="124"/>
      <c r="DS26" s="124"/>
      <c r="DT26" s="124">
        <v>0</v>
      </c>
      <c r="DU26" s="124"/>
      <c r="DV26" s="124"/>
      <c r="DW26" s="124">
        <v>0</v>
      </c>
      <c r="DX26" s="124"/>
      <c r="DY26" s="124"/>
      <c r="DZ26" s="124">
        <v>0</v>
      </c>
      <c r="EA26" s="124"/>
      <c r="EB26" s="124"/>
      <c r="EC26" s="124">
        <v>0</v>
      </c>
      <c r="ED26" s="124"/>
      <c r="EE26" s="124"/>
      <c r="EF26" s="124">
        <v>0</v>
      </c>
      <c r="EG26" s="124"/>
      <c r="EH26" s="124"/>
    </row>
    <row r="27" spans="1:145">
      <c r="A27" s="125" t="s">
        <v>385</v>
      </c>
      <c r="B27" s="126" t="s">
        <v>386</v>
      </c>
      <c r="C27" s="122" t="s">
        <v>349</v>
      </c>
      <c r="D27" s="128">
        <f t="shared" ref="D27:I27" si="56">D28+D29+D30+D33+D34+D31+D32+D35</f>
        <v>514517.53750984196</v>
      </c>
      <c r="E27" s="129">
        <f t="shared" si="56"/>
        <v>399941.37240544328</v>
      </c>
      <c r="F27" s="124">
        <f t="shared" si="56"/>
        <v>12494.212793454319</v>
      </c>
      <c r="G27" s="124">
        <f t="shared" si="56"/>
        <v>8652.3785547671232</v>
      </c>
      <c r="H27" s="124">
        <f t="shared" si="56"/>
        <v>9747.0400599999994</v>
      </c>
      <c r="I27" s="124">
        <f t="shared" si="56"/>
        <v>11055.916450000001</v>
      </c>
      <c r="J27" s="124"/>
      <c r="K27" s="124"/>
      <c r="L27" s="124">
        <f>L28+L29+L30+L33+L34+L31+L32+L35</f>
        <v>11329.588507459439</v>
      </c>
      <c r="M27" s="124"/>
      <c r="N27" s="124"/>
      <c r="O27" s="124">
        <f>O28+O29+O30+O33+O34+O31+O32+O35</f>
        <v>11737.453693727977</v>
      </c>
      <c r="P27" s="124"/>
      <c r="Q27" s="124"/>
      <c r="R27" s="124">
        <f>R28+R29+R30+R33+R34+R31+R32+R35</f>
        <v>12160.002026702186</v>
      </c>
      <c r="S27" s="124"/>
      <c r="T27" s="124"/>
      <c r="U27" s="124">
        <f>U28+U29+U30+U33+U34+U31+U32+U35</f>
        <v>13512.29398365847</v>
      </c>
      <c r="V27" s="124"/>
      <c r="W27" s="124"/>
      <c r="X27" s="124">
        <f>X28+X29+X30+X33+X34+X31+X32+X35</f>
        <v>14348.457557242287</v>
      </c>
      <c r="Y27" s="124"/>
      <c r="Z27" s="124"/>
      <c r="AA27" s="124">
        <f>AA28+AA29+AA30+AA33+AA34+AA31+AA32+AA35</f>
        <v>14617.949282543575</v>
      </c>
      <c r="AB27" s="124"/>
      <c r="AC27" s="124"/>
      <c r="AD27" s="124">
        <f>AD28+AD29+AD30+AD33+AD34+AD31+AD32+AD35</f>
        <v>17058.659000490916</v>
      </c>
      <c r="AE27" s="124"/>
      <c r="AF27" s="124"/>
      <c r="AG27" s="124">
        <f>AG28+AG29+AG30+AG33+AG34+AG31+AG32+AG35</f>
        <v>21831.069774974887</v>
      </c>
      <c r="AH27" s="124"/>
      <c r="AI27" s="124"/>
      <c r="AJ27" s="124">
        <f>AJ28+AJ29+AJ30+AJ33+AJ34+AJ31+AJ32+AJ35</f>
        <v>20496.384399582872</v>
      </c>
      <c r="AK27" s="124"/>
      <c r="AL27" s="124"/>
      <c r="AM27" s="124">
        <f>AM28+AM29+AM30+AM33+AM34+AM31+AM32+AM35</f>
        <v>19962.911256496744</v>
      </c>
      <c r="AN27" s="124"/>
      <c r="AO27" s="124"/>
      <c r="AP27" s="124">
        <f>AP28+AP29+AP30+AP33+AP34+AP31+AP32+AP35</f>
        <v>19399.318252894249</v>
      </c>
      <c r="AQ27" s="124"/>
      <c r="AR27" s="124"/>
      <c r="AS27" s="124">
        <f>AS28+AS29+AS30+AS33+AS34+AS31+AS32+AS35</f>
        <v>19436.861494673387</v>
      </c>
      <c r="AT27" s="124"/>
      <c r="AU27" s="124"/>
      <c r="AV27" s="124">
        <f>AV28+AV29+AV30+AV33+AV34+AV31+AV32+AV35</f>
        <v>19489.603605222201</v>
      </c>
      <c r="AW27" s="124"/>
      <c r="AX27" s="124"/>
      <c r="AY27" s="124">
        <f>AY28+AY29+AY30+AY33+AY34+AY31+AY32+AY35</f>
        <v>19544.313582170886</v>
      </c>
      <c r="AZ27" s="124"/>
      <c r="BA27" s="124"/>
      <c r="BB27" s="124">
        <f>BB28+BB29+BB30+BB33+BB34+BB31+BB32+BB35</f>
        <v>18588.772496757094</v>
      </c>
      <c r="BC27" s="124"/>
      <c r="BD27" s="124"/>
      <c r="BE27" s="124">
        <f>BE28+BE29+BE30+BE33+BE34+BE31+BE32+BE35</f>
        <v>20259.335701580378</v>
      </c>
      <c r="BF27" s="124"/>
      <c r="BG27" s="124"/>
      <c r="BH27" s="124">
        <f>BH28+BH29+BH30+BH33+BH34+BH31+BH32+BH35</f>
        <v>19951.255165679402</v>
      </c>
      <c r="BI27" s="124"/>
      <c r="BJ27" s="124"/>
      <c r="BK27" s="124">
        <f>BK28+BK29+BK30+BK33+BK34+BK31+BK32+BK35</f>
        <v>20669.500351643859</v>
      </c>
      <c r="BL27" s="124"/>
      <c r="BM27" s="124"/>
      <c r="BN27" s="124">
        <f>BN28+BN29+BN30+BN33+BN34+BN31+BN32+BN35</f>
        <v>21413.602364303038</v>
      </c>
      <c r="BO27" s="124"/>
      <c r="BP27" s="124"/>
      <c r="BQ27" s="124">
        <f t="shared" ref="BQ27:BX27" si="57">BQ28+BQ29+BQ30+BQ33+BQ34+BQ31+BQ32+BQ35</f>
        <v>22184.49204941795</v>
      </c>
      <c r="BR27" s="124"/>
      <c r="BS27" s="124"/>
      <c r="BT27" s="160">
        <f t="shared" si="57"/>
        <v>114576.16510439865</v>
      </c>
      <c r="BU27" s="124">
        <f t="shared" si="57"/>
        <v>4681.9771298932301</v>
      </c>
      <c r="BV27" s="124">
        <f t="shared" si="57"/>
        <v>2447.9327419520068</v>
      </c>
      <c r="BW27" s="124">
        <f t="shared" si="57"/>
        <v>2475.0765000000001</v>
      </c>
      <c r="BX27" s="124">
        <f t="shared" si="57"/>
        <v>2331.5225699999996</v>
      </c>
      <c r="BY27" s="124"/>
      <c r="BZ27" s="124"/>
      <c r="CA27" s="124">
        <f>CA28+CA29+CA30+CA33+CA34+CA31+CA32+CA35</f>
        <v>2335.6895717474818</v>
      </c>
      <c r="CB27" s="124"/>
      <c r="CC27" s="124"/>
      <c r="CD27" s="124">
        <f>CD28+CD29+CD30+CD33+CD34+CD31+CD32+CD35</f>
        <v>3159.6335190395466</v>
      </c>
      <c r="CE27" s="124"/>
      <c r="CF27" s="124"/>
      <c r="CG27" s="124">
        <f>CG28+CG29+CG30+CG33+CG34+CG31+CG32+CG35</f>
        <v>3728.3365377789964</v>
      </c>
      <c r="CH27" s="124"/>
      <c r="CI27" s="124"/>
      <c r="CJ27" s="124">
        <f>CJ28+CJ29+CJ30+CJ33+CJ34+CJ31+CJ32+CJ35</f>
        <v>3511.6660644788294</v>
      </c>
      <c r="CK27" s="124"/>
      <c r="CL27" s="124"/>
      <c r="CM27" s="124">
        <f>CM28+CM29+CM30+CM33+CM34+CM31+CM32+CM35</f>
        <v>3987.8070329721763</v>
      </c>
      <c r="CN27" s="124"/>
      <c r="CO27" s="124"/>
      <c r="CP27" s="124">
        <f>CP28+CP29+CP30+CP33+CP34+CP31+CP32+CP35</f>
        <v>5465.9596578739738</v>
      </c>
      <c r="CQ27" s="124"/>
      <c r="CR27" s="124"/>
      <c r="CS27" s="124">
        <f>CS28+CS29+CS30+CS33+CS34+CS31+CS32+CS35</f>
        <v>5260.4829698061476</v>
      </c>
      <c r="CT27" s="124"/>
      <c r="CU27" s="124"/>
      <c r="CV27" s="124">
        <f>CV28+CV29+CV30+CV33+CV34+CV31+CV32+CV35</f>
        <v>6282.374469604787</v>
      </c>
      <c r="CW27" s="124"/>
      <c r="CX27" s="124"/>
      <c r="CY27" s="124">
        <f>CY28+CY29+CY30+CY33+CY34+CY31+CY32+CY35</f>
        <v>8410.8063627489064</v>
      </c>
      <c r="CZ27" s="124"/>
      <c r="DA27" s="124"/>
      <c r="DB27" s="124">
        <f>DB28+DB29+DB30+DB33+DB34+DB31+DB32+DB35</f>
        <v>7724.9909424687103</v>
      </c>
      <c r="DC27" s="124"/>
      <c r="DD27" s="124"/>
      <c r="DE27" s="124">
        <f>DE28+DE29+DE30+DE33+DE34+DE31+DE32+DE35</f>
        <v>6996.2040528942362</v>
      </c>
      <c r="DF27" s="124"/>
      <c r="DG27" s="124"/>
      <c r="DH27" s="124">
        <f>DH28+DH29+DH30+DH33+DH34+DH31+DH32+DH35</f>
        <v>6710.2960954520713</v>
      </c>
      <c r="DI27" s="124"/>
      <c r="DJ27" s="124"/>
      <c r="DK27" s="124">
        <f>DK28+DK29+DK30+DK33+DK34+DK31+DK32+DK35</f>
        <v>6425.9610923759537</v>
      </c>
      <c r="DL27" s="124"/>
      <c r="DM27" s="124"/>
      <c r="DN27" s="124">
        <f>DN28+DN29+DN30+DN33+DN34+DN31+DN32+DN35</f>
        <v>6134.2020965539878</v>
      </c>
      <c r="DO27" s="124"/>
      <c r="DP27" s="124"/>
      <c r="DQ27" s="124">
        <f>DQ28+DQ29+DQ30+DQ33+DQ34+DQ31+DQ32+DQ35</f>
        <v>4863.8303559434717</v>
      </c>
      <c r="DR27" s="124"/>
      <c r="DS27" s="124"/>
      <c r="DT27" s="124">
        <f>DT28+DT29+DT30+DT33+DT34+DT31+DT32+DT35</f>
        <v>4278.9939784678973</v>
      </c>
      <c r="DU27" s="124"/>
      <c r="DV27" s="124"/>
      <c r="DW27" s="124">
        <f>DW28+DW29+DW30+DW33+DW34+DW31+DW32+DW35</f>
        <v>4113.1183716927517</v>
      </c>
      <c r="DX27" s="124"/>
      <c r="DY27" s="124"/>
      <c r="DZ27" s="124">
        <f>DZ28+DZ29+DZ30+DZ33+DZ34+DZ31+DZ32+DZ35</f>
        <v>4261.190633073692</v>
      </c>
      <c r="EA27" s="124"/>
      <c r="EB27" s="124"/>
      <c r="EC27" s="124">
        <f>EC28+EC29+EC30+EC33+EC34+EC31+EC32+EC35</f>
        <v>4414.5934958643447</v>
      </c>
      <c r="ED27" s="124"/>
      <c r="EE27" s="124"/>
      <c r="EF27" s="124">
        <f>EF28+EF29+EF30+EF33+EF34+EF31+EF32+EF35</f>
        <v>4573.5188617154618</v>
      </c>
      <c r="EG27" s="124"/>
      <c r="EH27" s="124"/>
    </row>
    <row r="28" spans="1:145">
      <c r="A28" s="125" t="s">
        <v>387</v>
      </c>
      <c r="B28" s="126" t="s">
        <v>388</v>
      </c>
      <c r="C28" s="122" t="s">
        <v>349</v>
      </c>
      <c r="D28" s="128">
        <f t="shared" ref="D28:D35" si="58">E28+BT28</f>
        <v>77857.11767497359</v>
      </c>
      <c r="E28" s="129">
        <f t="shared" ref="E28:E35" si="59">SUM(F28:BS28)</f>
        <v>39086.721794630444</v>
      </c>
      <c r="F28" s="124">
        <v>2593.3270734543198</v>
      </c>
      <c r="G28" s="124">
        <v>183.81838476712301</v>
      </c>
      <c r="H28" s="124">
        <v>0</v>
      </c>
      <c r="I28" s="124">
        <v>0</v>
      </c>
      <c r="J28" s="124"/>
      <c r="K28" s="124"/>
      <c r="L28" s="124">
        <v>70.955430011287504</v>
      </c>
      <c r="M28" s="124"/>
      <c r="N28" s="124"/>
      <c r="O28" s="124">
        <f>O50/0.8*0.2</f>
        <v>73.50982549169386</v>
      </c>
      <c r="P28" s="124"/>
      <c r="Q28" s="124"/>
      <c r="R28" s="124">
        <v>76.156179209394793</v>
      </c>
      <c r="S28" s="124"/>
      <c r="T28" s="124"/>
      <c r="U28" s="124">
        <f>U50/0.8*0.2</f>
        <v>993.4296856559381</v>
      </c>
      <c r="V28" s="124"/>
      <c r="W28" s="124"/>
      <c r="X28" s="124">
        <f>X50/0.8*0.2</f>
        <v>1378.9141445116641</v>
      </c>
      <c r="Y28" s="124"/>
      <c r="Z28" s="124"/>
      <c r="AA28" s="124">
        <f>AA50/0.8*0.2</f>
        <v>1181.5023069546503</v>
      </c>
      <c r="AB28" s="124"/>
      <c r="AC28" s="124"/>
      <c r="AD28" s="124">
        <v>3138.4999337807899</v>
      </c>
      <c r="AE28" s="124"/>
      <c r="AF28" s="124"/>
      <c r="AG28" s="124">
        <f>AG50/0.8*0.2</f>
        <v>7409.7849818631985</v>
      </c>
      <c r="AH28" s="124"/>
      <c r="AI28" s="124"/>
      <c r="AJ28" s="124">
        <f>AJ50/0.8*0.2</f>
        <v>5555.9333539191575</v>
      </c>
      <c r="AK28" s="124"/>
      <c r="AL28" s="124"/>
      <c r="AM28" s="124">
        <v>4484.6039731891397</v>
      </c>
      <c r="AN28" s="124"/>
      <c r="AO28" s="124"/>
      <c r="AP28" s="124">
        <v>3363.7919073875701</v>
      </c>
      <c r="AQ28" s="124"/>
      <c r="AR28" s="124"/>
      <c r="AS28" s="124">
        <f>AS50/0.8*0.2</f>
        <v>2824.056200728468</v>
      </c>
      <c r="AT28" s="124"/>
      <c r="AU28" s="124"/>
      <c r="AV28" s="124">
        <f>AV50/0.8*0.2</f>
        <v>2278.7373206952652</v>
      </c>
      <c r="AW28" s="124"/>
      <c r="AX28" s="124"/>
      <c r="AY28" s="124">
        <f>AY50/0.8*0.2</f>
        <v>1713.8561114009808</v>
      </c>
      <c r="AZ28" s="124"/>
      <c r="BA28" s="124"/>
      <c r="BB28" s="124">
        <f>BB50/0.8*0.2</f>
        <v>116.41855703947039</v>
      </c>
      <c r="BC28" s="124"/>
      <c r="BD28" s="124"/>
      <c r="BE28" s="124">
        <v>1121.9770200329201</v>
      </c>
      <c r="BF28" s="124"/>
      <c r="BG28" s="124"/>
      <c r="BH28" s="124">
        <f>BH50/0.8*0.2</f>
        <v>124.9515715962354</v>
      </c>
      <c r="BI28" s="124"/>
      <c r="BJ28" s="124"/>
      <c r="BK28" s="124">
        <v>129.44982817370001</v>
      </c>
      <c r="BL28" s="124"/>
      <c r="BM28" s="124"/>
      <c r="BN28" s="124">
        <f>BN50/0.8*0.2</f>
        <v>134.11002198795308</v>
      </c>
      <c r="BO28" s="124"/>
      <c r="BP28" s="124"/>
      <c r="BQ28" s="124">
        <f>BQ50/0.8*0.2</f>
        <v>138.93798277951939</v>
      </c>
      <c r="BR28" s="124"/>
      <c r="BS28" s="124"/>
      <c r="BT28" s="129">
        <f t="shared" ref="BT28:BT35" si="60">SUM(BU28:EH28)</f>
        <v>38770.395880343145</v>
      </c>
      <c r="BU28" s="124">
        <v>1146.55730989323</v>
      </c>
      <c r="BV28" s="124">
        <v>137.97529195200701</v>
      </c>
      <c r="BW28" s="124">
        <v>0</v>
      </c>
      <c r="BX28" s="124">
        <v>0</v>
      </c>
      <c r="BY28" s="124"/>
      <c r="BZ28" s="124"/>
      <c r="CA28" s="124">
        <f>CA50/0.8*0.2</f>
        <v>55.356566847224997</v>
      </c>
      <c r="CB28" s="124"/>
      <c r="CC28" s="124"/>
      <c r="CD28" s="124">
        <f>CD50/0.8*0.2</f>
        <v>797.20852596288012</v>
      </c>
      <c r="CE28" s="124"/>
      <c r="CF28" s="124"/>
      <c r="CG28" s="124">
        <v>1280.8642449515701</v>
      </c>
      <c r="CH28" s="124"/>
      <c r="CI28" s="124"/>
      <c r="CJ28" s="124">
        <f>CJ50/0.8*0.2</f>
        <v>976.08476910961508</v>
      </c>
      <c r="CK28" s="124"/>
      <c r="CL28" s="124"/>
      <c r="CM28" s="124">
        <f>CM50/0.8*0.2</f>
        <v>1360.9448109696709</v>
      </c>
      <c r="CN28" s="124"/>
      <c r="CO28" s="124"/>
      <c r="CP28" s="124">
        <f>CP50/0.8*0.2</f>
        <v>2744.5303958793779</v>
      </c>
      <c r="CQ28" s="124"/>
      <c r="CR28" s="124"/>
      <c r="CS28" s="124">
        <f>CS50/0.8*0.2</f>
        <v>2441.0822543797462</v>
      </c>
      <c r="CT28" s="124"/>
      <c r="CU28" s="124"/>
      <c r="CV28" s="124">
        <f>CV50/0.8*0.2</f>
        <v>3361.4753284230355</v>
      </c>
      <c r="CW28" s="124"/>
      <c r="CX28" s="124"/>
      <c r="CY28" s="124">
        <f>CY50/0.8*0.2</f>
        <v>5384.7548524846106</v>
      </c>
      <c r="CZ28" s="124"/>
      <c r="DA28" s="124"/>
      <c r="DB28" s="124">
        <f>DB50/0.8*0.2</f>
        <v>4590.0015778348998</v>
      </c>
      <c r="DC28" s="124"/>
      <c r="DD28" s="124"/>
      <c r="DE28" s="124">
        <f>DE50/0.8*0.2</f>
        <v>3748.3550711336084</v>
      </c>
      <c r="DF28" s="124"/>
      <c r="DG28" s="124"/>
      <c r="DH28" s="124">
        <f>DH50/0.8*0.2</f>
        <v>3345.5245503480614</v>
      </c>
      <c r="DI28" s="124"/>
      <c r="DJ28" s="124"/>
      <c r="DK28" s="124">
        <f>DK50/0.8*0.2</f>
        <v>2940.0577716481989</v>
      </c>
      <c r="DL28" s="124"/>
      <c r="DM28" s="124"/>
      <c r="DN28" s="124">
        <f>DN50/0.8*0.2</f>
        <v>2522.8062562800337</v>
      </c>
      <c r="DO28" s="124"/>
      <c r="DP28" s="124"/>
      <c r="DQ28" s="124">
        <f>DQ50/0.8*0.2</f>
        <v>1122.4242654196555</v>
      </c>
      <c r="DR28" s="124"/>
      <c r="DS28" s="124"/>
      <c r="DT28" s="124">
        <f>DT50/0.8*0.2</f>
        <v>402.89726868522365</v>
      </c>
      <c r="DU28" s="124"/>
      <c r="DV28" s="124"/>
      <c r="DW28" s="124">
        <f>DW50/0.8*0.2</f>
        <v>97.482180357902067</v>
      </c>
      <c r="DX28" s="124"/>
      <c r="DY28" s="124"/>
      <c r="DZ28" s="124">
        <f>DZ50/0.8*0.2</f>
        <v>100.99153885078654</v>
      </c>
      <c r="EA28" s="124"/>
      <c r="EB28" s="124"/>
      <c r="EC28" s="124">
        <f>EC50/0.8*0.2</f>
        <v>104.62723424941485</v>
      </c>
      <c r="ED28" s="124"/>
      <c r="EE28" s="124"/>
      <c r="EF28" s="124">
        <f>EF50/0.8*0.2</f>
        <v>108.39381468239378</v>
      </c>
      <c r="EG28" s="124"/>
      <c r="EH28" s="124"/>
    </row>
    <row r="29" spans="1:145">
      <c r="A29" s="125" t="s">
        <v>389</v>
      </c>
      <c r="B29" s="126" t="s">
        <v>390</v>
      </c>
      <c r="C29" s="122" t="s">
        <v>349</v>
      </c>
      <c r="D29" s="128">
        <f t="shared" si="58"/>
        <v>124391.02741939612</v>
      </c>
      <c r="E29" s="129">
        <f t="shared" si="59"/>
        <v>72621.506091321164</v>
      </c>
      <c r="F29" s="124">
        <v>1587.7659000000001</v>
      </c>
      <c r="G29" s="124">
        <v>1785.35528</v>
      </c>
      <c r="H29" s="124">
        <v>2261.9171999999999</v>
      </c>
      <c r="I29" s="124">
        <v>2358.8521599999999</v>
      </c>
      <c r="J29" s="124"/>
      <c r="K29" s="124"/>
      <c r="L29" s="124">
        <v>2261.9171999999999</v>
      </c>
      <c r="M29" s="124"/>
      <c r="N29" s="124"/>
      <c r="O29" s="124">
        <f t="shared" ref="O29:O35" si="61">L29*O$70</f>
        <v>2343.3462191999997</v>
      </c>
      <c r="P29" s="124"/>
      <c r="Q29" s="124"/>
      <c r="R29" s="124">
        <f t="shared" ref="R29:R35" si="62">O29*R$70</f>
        <v>2427.7066830911999</v>
      </c>
      <c r="S29" s="124"/>
      <c r="T29" s="124"/>
      <c r="U29" s="124">
        <f t="shared" ref="U29:U35" si="63">R29*U$70</f>
        <v>2515.1041236824831</v>
      </c>
      <c r="V29" s="124"/>
      <c r="W29" s="124"/>
      <c r="X29" s="124">
        <f t="shared" ref="X29:X35" si="64">U29*X$70</f>
        <v>2605.6478721350527</v>
      </c>
      <c r="Y29" s="124"/>
      <c r="Z29" s="124"/>
      <c r="AA29" s="124">
        <f t="shared" ref="AA29:AA35" si="65">X29*AA$70</f>
        <v>2699.4511955319149</v>
      </c>
      <c r="AB29" s="124"/>
      <c r="AC29" s="124"/>
      <c r="AD29" s="124">
        <f t="shared" ref="AD29:AD35" si="66">AA29*AD$70</f>
        <v>2796.6314385710639</v>
      </c>
      <c r="AE29" s="124"/>
      <c r="AF29" s="124"/>
      <c r="AG29" s="124">
        <f t="shared" ref="AG29:AG35" si="67">AD29*AG$70</f>
        <v>2897.3101703596221</v>
      </c>
      <c r="AH29" s="124"/>
      <c r="AI29" s="124"/>
      <c r="AJ29" s="124">
        <f t="shared" ref="AJ29:AJ35" si="68">AG29*AJ$70</f>
        <v>3001.6133364925686</v>
      </c>
      <c r="AK29" s="124"/>
      <c r="AL29" s="124"/>
      <c r="AM29" s="124">
        <f t="shared" ref="AM29:AM35" si="69">AJ29*AM$70</f>
        <v>3109.6714166063011</v>
      </c>
      <c r="AN29" s="124"/>
      <c r="AO29" s="124"/>
      <c r="AP29" s="124">
        <f t="shared" ref="AP29:AP35" si="70">AM29*AP$70</f>
        <v>3221.6195876041279</v>
      </c>
      <c r="AQ29" s="124"/>
      <c r="AR29" s="124"/>
      <c r="AS29" s="124">
        <f t="shared" ref="AS29:AS35" si="71">AP29*AS$70</f>
        <v>3337.5978927578767</v>
      </c>
      <c r="AT29" s="124"/>
      <c r="AU29" s="124"/>
      <c r="AV29" s="124">
        <f t="shared" ref="AV29:AV35" si="72">AS29*AV$70</f>
        <v>3457.7514168971602</v>
      </c>
      <c r="AW29" s="124"/>
      <c r="AX29" s="124"/>
      <c r="AY29" s="124">
        <f t="shared" ref="AY29:AY35" si="73">AV29*AY$70</f>
        <v>3582.2304679054582</v>
      </c>
      <c r="AZ29" s="124"/>
      <c r="BA29" s="124"/>
      <c r="BB29" s="124">
        <f t="shared" ref="BB29:BB35" si="74">AY29*BB$70</f>
        <v>3711.1907647500548</v>
      </c>
      <c r="BC29" s="124"/>
      <c r="BD29" s="124"/>
      <c r="BE29" s="124">
        <f t="shared" ref="BE29:BE35" si="75">BB29*BE$70</f>
        <v>3844.7936322810569</v>
      </c>
      <c r="BF29" s="124"/>
      <c r="BG29" s="124"/>
      <c r="BH29" s="124">
        <f t="shared" ref="BH29:BH35" si="76">BE29*BH$70</f>
        <v>3983.2062030431753</v>
      </c>
      <c r="BI29" s="124"/>
      <c r="BJ29" s="124"/>
      <c r="BK29" s="124">
        <f t="shared" ref="BK29:BK35" si="77">BH29*BK$70</f>
        <v>4126.6016263527299</v>
      </c>
      <c r="BL29" s="124"/>
      <c r="BM29" s="124"/>
      <c r="BN29" s="124">
        <f t="shared" ref="BN29:BN35" si="78">BK29*BN$70</f>
        <v>4275.1592849014287</v>
      </c>
      <c r="BO29" s="124"/>
      <c r="BP29" s="124"/>
      <c r="BQ29" s="124">
        <f t="shared" ref="BQ29:BQ35" si="79">BN29*BQ$70</f>
        <v>4429.0650191578807</v>
      </c>
      <c r="BR29" s="124"/>
      <c r="BS29" s="124"/>
      <c r="BT29" s="129">
        <f t="shared" si="60"/>
        <v>51769.521328074967</v>
      </c>
      <c r="BU29" s="124">
        <v>1124.46603</v>
      </c>
      <c r="BV29" s="124">
        <v>1290.86952</v>
      </c>
      <c r="BW29" s="124">
        <v>1612.4146000000001</v>
      </c>
      <c r="BX29" s="124">
        <v>1671.7775999999999</v>
      </c>
      <c r="BY29" s="124"/>
      <c r="BZ29" s="124"/>
      <c r="CA29" s="124">
        <v>1612.4146000000001</v>
      </c>
      <c r="CB29" s="124"/>
      <c r="CC29" s="124"/>
      <c r="CD29" s="124">
        <f t="shared" ref="CD29:CD35" si="80">CA29*CD$70</f>
        <v>1670.4615256000002</v>
      </c>
      <c r="CE29" s="124"/>
      <c r="CF29" s="124"/>
      <c r="CG29" s="124">
        <f t="shared" ref="CG29:CG35" si="81">CD29*CG$70</f>
        <v>1730.5981405216003</v>
      </c>
      <c r="CH29" s="124"/>
      <c r="CI29" s="124"/>
      <c r="CJ29" s="124">
        <f t="shared" ref="CJ29:CJ35" si="82">CG29*CJ$70</f>
        <v>1792.899673580378</v>
      </c>
      <c r="CK29" s="124"/>
      <c r="CL29" s="124"/>
      <c r="CM29" s="124">
        <f t="shared" ref="CM29:CM35" si="83">CJ29*CM$70</f>
        <v>1857.4440618292717</v>
      </c>
      <c r="CN29" s="124"/>
      <c r="CO29" s="124"/>
      <c r="CP29" s="124">
        <f t="shared" ref="CP29:CP35" si="84">CM29*CP$70</f>
        <v>1924.3120480551256</v>
      </c>
      <c r="CQ29" s="124"/>
      <c r="CR29" s="124"/>
      <c r="CS29" s="124">
        <f t="shared" ref="CS29:CS35" si="85">CP29*CS$70</f>
        <v>1993.5872817851102</v>
      </c>
      <c r="CT29" s="124"/>
      <c r="CU29" s="124"/>
      <c r="CV29" s="124">
        <f t="shared" ref="CV29:CV35" si="86">CS29*CV$70</f>
        <v>2065.3564239293742</v>
      </c>
      <c r="CW29" s="124"/>
      <c r="CX29" s="124"/>
      <c r="CY29" s="124">
        <f t="shared" ref="CY29:CY35" si="87">CV29*CY$70</f>
        <v>2139.7092551908318</v>
      </c>
      <c r="CZ29" s="124"/>
      <c r="DA29" s="124"/>
      <c r="DB29" s="124">
        <f t="shared" ref="DB29:DB35" si="88">CY29*DB$70</f>
        <v>2216.7387883777019</v>
      </c>
      <c r="DC29" s="124"/>
      <c r="DD29" s="124"/>
      <c r="DE29" s="124">
        <f t="shared" ref="DE29:DE35" si="89">DB29*DE$70</f>
        <v>2296.541384759299</v>
      </c>
      <c r="DF29" s="124"/>
      <c r="DG29" s="124"/>
      <c r="DH29" s="124">
        <f t="shared" ref="DH29:DH35" si="90">DE29*DH$70</f>
        <v>2379.216874610634</v>
      </c>
      <c r="DI29" s="124"/>
      <c r="DJ29" s="124"/>
      <c r="DK29" s="124">
        <f t="shared" ref="DK29:DK35" si="91">DH29*DK$70</f>
        <v>2464.8686820966168</v>
      </c>
      <c r="DL29" s="124"/>
      <c r="DM29" s="124"/>
      <c r="DN29" s="124">
        <f t="shared" ref="DN29:DN35" si="92">DK29*DN$70</f>
        <v>2553.6039546520951</v>
      </c>
      <c r="DO29" s="124"/>
      <c r="DP29" s="124"/>
      <c r="DQ29" s="124">
        <f t="shared" ref="DQ29:DQ35" si="93">DN29*DQ$70</f>
        <v>2645.5336970195708</v>
      </c>
      <c r="DR29" s="124"/>
      <c r="DS29" s="124"/>
      <c r="DT29" s="124">
        <f t="shared" ref="DT29:DT35" si="94">DQ29*DT$70</f>
        <v>2740.7729101122754</v>
      </c>
      <c r="DU29" s="124"/>
      <c r="DV29" s="124"/>
      <c r="DW29" s="124">
        <f t="shared" ref="DW29:DW35" si="95">DT29*DW$70</f>
        <v>2839.4407348763175</v>
      </c>
      <c r="DX29" s="124"/>
      <c r="DY29" s="124"/>
      <c r="DZ29" s="124">
        <f t="shared" ref="DZ29:DZ35" si="96">DW29*DZ$70</f>
        <v>2941.6606013318651</v>
      </c>
      <c r="EA29" s="124"/>
      <c r="EB29" s="124"/>
      <c r="EC29" s="124">
        <f t="shared" ref="EC29:EC35" si="97">DZ29*EC$70</f>
        <v>3047.5603829798124</v>
      </c>
      <c r="ED29" s="124"/>
      <c r="EE29" s="124"/>
      <c r="EF29" s="124">
        <f t="shared" ref="EF29:EF35" si="98">EC29*EF$70</f>
        <v>3157.2725567670859</v>
      </c>
      <c r="EG29" s="124"/>
      <c r="EH29" s="124"/>
    </row>
    <row r="30" spans="1:145">
      <c r="A30" s="125" t="s">
        <v>391</v>
      </c>
      <c r="B30" s="126" t="s">
        <v>392</v>
      </c>
      <c r="C30" s="122" t="s">
        <v>349</v>
      </c>
      <c r="D30" s="128">
        <f t="shared" si="58"/>
        <v>46054.603975762053</v>
      </c>
      <c r="E30" s="129">
        <f t="shared" si="59"/>
        <v>27696.070963101636</v>
      </c>
      <c r="F30" s="124">
        <v>1997.06323</v>
      </c>
      <c r="G30" s="124">
        <v>702.29719999999998</v>
      </c>
      <c r="H30" s="124">
        <v>885.41994</v>
      </c>
      <c r="I30" s="124">
        <v>719.05421000000001</v>
      </c>
      <c r="J30" s="124"/>
      <c r="K30" s="124"/>
      <c r="L30" s="124">
        <v>818.71041303366997</v>
      </c>
      <c r="M30" s="124"/>
      <c r="N30" s="124"/>
      <c r="O30" s="124">
        <f t="shared" si="61"/>
        <v>848.18398790288211</v>
      </c>
      <c r="P30" s="124"/>
      <c r="Q30" s="124"/>
      <c r="R30" s="124">
        <f t="shared" si="62"/>
        <v>878.71861146738593</v>
      </c>
      <c r="S30" s="124"/>
      <c r="T30" s="124"/>
      <c r="U30" s="124">
        <f t="shared" si="63"/>
        <v>910.35248148021185</v>
      </c>
      <c r="V30" s="124"/>
      <c r="W30" s="124"/>
      <c r="X30" s="124">
        <f t="shared" si="64"/>
        <v>943.12517081349949</v>
      </c>
      <c r="Y30" s="124"/>
      <c r="Z30" s="124"/>
      <c r="AA30" s="124">
        <f t="shared" si="65"/>
        <v>977.07767696278552</v>
      </c>
      <c r="AB30" s="124"/>
      <c r="AC30" s="124"/>
      <c r="AD30" s="124">
        <f t="shared" si="66"/>
        <v>1012.2524733334458</v>
      </c>
      <c r="AE30" s="124"/>
      <c r="AF30" s="124"/>
      <c r="AG30" s="124">
        <f t="shared" si="67"/>
        <v>1048.6935623734498</v>
      </c>
      <c r="AH30" s="124"/>
      <c r="AI30" s="124"/>
      <c r="AJ30" s="124">
        <f t="shared" si="68"/>
        <v>1086.446530618894</v>
      </c>
      <c r="AK30" s="124"/>
      <c r="AL30" s="124"/>
      <c r="AM30" s="124">
        <f t="shared" si="69"/>
        <v>1125.5586057211742</v>
      </c>
      <c r="AN30" s="124"/>
      <c r="AO30" s="124"/>
      <c r="AP30" s="124">
        <f t="shared" si="70"/>
        <v>1166.0787155271366</v>
      </c>
      <c r="AQ30" s="124"/>
      <c r="AR30" s="124"/>
      <c r="AS30" s="124">
        <f t="shared" si="71"/>
        <v>1208.0575492861135</v>
      </c>
      <c r="AT30" s="124"/>
      <c r="AU30" s="124"/>
      <c r="AV30" s="124">
        <f t="shared" si="72"/>
        <v>1251.5476210604136</v>
      </c>
      <c r="AW30" s="124"/>
      <c r="AX30" s="124"/>
      <c r="AY30" s="124">
        <f t="shared" si="73"/>
        <v>1296.6033354185886</v>
      </c>
      <c r="AZ30" s="124"/>
      <c r="BA30" s="124"/>
      <c r="BB30" s="124">
        <f t="shared" si="74"/>
        <v>1343.2810554936577</v>
      </c>
      <c r="BC30" s="124"/>
      <c r="BD30" s="124"/>
      <c r="BE30" s="124">
        <f t="shared" si="75"/>
        <v>1391.6391734914293</v>
      </c>
      <c r="BF30" s="124"/>
      <c r="BG30" s="124"/>
      <c r="BH30" s="124">
        <f t="shared" si="76"/>
        <v>1441.7381837371208</v>
      </c>
      <c r="BI30" s="124"/>
      <c r="BJ30" s="124"/>
      <c r="BK30" s="124">
        <f t="shared" si="77"/>
        <v>1493.6407583516573</v>
      </c>
      <c r="BL30" s="124"/>
      <c r="BM30" s="124"/>
      <c r="BN30" s="124">
        <f t="shared" si="78"/>
        <v>1547.411825652317</v>
      </c>
      <c r="BO30" s="124"/>
      <c r="BP30" s="124"/>
      <c r="BQ30" s="124">
        <f t="shared" si="79"/>
        <v>1603.1186513758005</v>
      </c>
      <c r="BR30" s="124"/>
      <c r="BS30" s="124"/>
      <c r="BT30" s="129">
        <f t="shared" si="60"/>
        <v>18358.533012660417</v>
      </c>
      <c r="BU30" s="124">
        <v>2078.7984900000001</v>
      </c>
      <c r="BV30" s="124">
        <v>564.06994999999995</v>
      </c>
      <c r="BW30" s="124">
        <v>569.06635000000006</v>
      </c>
      <c r="BX30" s="124">
        <v>523.18115</v>
      </c>
      <c r="BY30" s="124"/>
      <c r="BZ30" s="124"/>
      <c r="CA30" s="124">
        <v>511.80843231261798</v>
      </c>
      <c r="CB30" s="124"/>
      <c r="CC30" s="124"/>
      <c r="CD30" s="124">
        <f t="shared" si="80"/>
        <v>530.23353587587224</v>
      </c>
      <c r="CE30" s="124"/>
      <c r="CF30" s="124"/>
      <c r="CG30" s="124">
        <f t="shared" si="81"/>
        <v>549.32194316740367</v>
      </c>
      <c r="CH30" s="124"/>
      <c r="CI30" s="124"/>
      <c r="CJ30" s="124">
        <f t="shared" si="82"/>
        <v>569.09753312143027</v>
      </c>
      <c r="CK30" s="124"/>
      <c r="CL30" s="124"/>
      <c r="CM30" s="124">
        <f t="shared" si="83"/>
        <v>589.58504431380175</v>
      </c>
      <c r="CN30" s="124"/>
      <c r="CO30" s="124"/>
      <c r="CP30" s="124">
        <f t="shared" si="84"/>
        <v>610.81010590909864</v>
      </c>
      <c r="CQ30" s="124"/>
      <c r="CR30" s="124"/>
      <c r="CS30" s="124">
        <f t="shared" si="85"/>
        <v>632.79926972182625</v>
      </c>
      <c r="CT30" s="124"/>
      <c r="CU30" s="124"/>
      <c r="CV30" s="124">
        <f t="shared" si="86"/>
        <v>655.58004343181199</v>
      </c>
      <c r="CW30" s="124"/>
      <c r="CX30" s="124"/>
      <c r="CY30" s="124">
        <f t="shared" si="87"/>
        <v>679.18092499535726</v>
      </c>
      <c r="CZ30" s="124"/>
      <c r="DA30" s="124"/>
      <c r="DB30" s="124">
        <f t="shared" si="88"/>
        <v>703.63143829519015</v>
      </c>
      <c r="DC30" s="124"/>
      <c r="DD30" s="124"/>
      <c r="DE30" s="124">
        <f t="shared" si="89"/>
        <v>728.96217007381699</v>
      </c>
      <c r="DF30" s="124"/>
      <c r="DG30" s="124"/>
      <c r="DH30" s="124">
        <f t="shared" si="90"/>
        <v>755.20480819647446</v>
      </c>
      <c r="DI30" s="124"/>
      <c r="DJ30" s="124"/>
      <c r="DK30" s="124">
        <f t="shared" si="91"/>
        <v>782.39218129154756</v>
      </c>
      <c r="DL30" s="124"/>
      <c r="DM30" s="124"/>
      <c r="DN30" s="124">
        <f t="shared" si="92"/>
        <v>810.55829981804334</v>
      </c>
      <c r="DO30" s="124"/>
      <c r="DP30" s="124"/>
      <c r="DQ30" s="124">
        <f t="shared" si="93"/>
        <v>839.73839861149293</v>
      </c>
      <c r="DR30" s="124"/>
      <c r="DS30" s="124"/>
      <c r="DT30" s="124">
        <f t="shared" si="94"/>
        <v>869.96898096150665</v>
      </c>
      <c r="DU30" s="124"/>
      <c r="DV30" s="124"/>
      <c r="DW30" s="124">
        <f t="shared" si="95"/>
        <v>901.2878642761209</v>
      </c>
      <c r="DX30" s="124"/>
      <c r="DY30" s="124"/>
      <c r="DZ30" s="124">
        <f t="shared" si="96"/>
        <v>933.73422739006128</v>
      </c>
      <c r="EA30" s="124"/>
      <c r="EB30" s="124"/>
      <c r="EC30" s="124">
        <f t="shared" si="97"/>
        <v>967.3486595761035</v>
      </c>
      <c r="ED30" s="124"/>
      <c r="EE30" s="124"/>
      <c r="EF30" s="124">
        <f t="shared" si="98"/>
        <v>1002.1732113208433</v>
      </c>
      <c r="EG30" s="124"/>
      <c r="EH30" s="124"/>
    </row>
    <row r="31" spans="1:145">
      <c r="A31" s="125" t="s">
        <v>393</v>
      </c>
      <c r="B31" s="130" t="s">
        <v>394</v>
      </c>
      <c r="C31" s="122" t="s">
        <v>349</v>
      </c>
      <c r="D31" s="128">
        <f t="shared" si="58"/>
        <v>258296.43632112577</v>
      </c>
      <c r="E31" s="129">
        <f t="shared" si="59"/>
        <v>258296.43632112577</v>
      </c>
      <c r="F31" s="124">
        <v>6274.357</v>
      </c>
      <c r="G31" s="124">
        <v>5901.7</v>
      </c>
      <c r="H31" s="124">
        <v>6533.9750000000004</v>
      </c>
      <c r="I31" s="124">
        <v>7903.0360000000001</v>
      </c>
      <c r="J31" s="124"/>
      <c r="K31" s="124"/>
      <c r="L31" s="124">
        <v>8108.7409970021199</v>
      </c>
      <c r="M31" s="124"/>
      <c r="N31" s="124"/>
      <c r="O31" s="124">
        <f t="shared" si="61"/>
        <v>8400.655672894196</v>
      </c>
      <c r="P31" s="124"/>
      <c r="Q31" s="124"/>
      <c r="R31" s="124">
        <f t="shared" si="62"/>
        <v>8703.0792771183878</v>
      </c>
      <c r="S31" s="124"/>
      <c r="T31" s="124"/>
      <c r="U31" s="124">
        <f t="shared" si="63"/>
        <v>9016.3901310946494</v>
      </c>
      <c r="V31" s="124"/>
      <c r="W31" s="124"/>
      <c r="X31" s="124">
        <f t="shared" si="64"/>
        <v>9340.9801758140566</v>
      </c>
      <c r="Y31" s="124"/>
      <c r="Z31" s="124"/>
      <c r="AA31" s="124">
        <f t="shared" si="65"/>
        <v>9677.2554621433628</v>
      </c>
      <c r="AB31" s="124"/>
      <c r="AC31" s="124"/>
      <c r="AD31" s="124">
        <f t="shared" si="66"/>
        <v>10025.636658780524</v>
      </c>
      <c r="AE31" s="124"/>
      <c r="AF31" s="124"/>
      <c r="AG31" s="124">
        <f t="shared" si="67"/>
        <v>10386.559578496623</v>
      </c>
      <c r="AH31" s="124"/>
      <c r="AI31" s="124"/>
      <c r="AJ31" s="124">
        <f t="shared" si="68"/>
        <v>10760.475723322501</v>
      </c>
      <c r="AK31" s="124"/>
      <c r="AL31" s="124"/>
      <c r="AM31" s="124">
        <f t="shared" si="69"/>
        <v>11147.852849362111</v>
      </c>
      <c r="AN31" s="124"/>
      <c r="AO31" s="124"/>
      <c r="AP31" s="124">
        <f t="shared" si="70"/>
        <v>11549.175551939146</v>
      </c>
      <c r="AQ31" s="124"/>
      <c r="AR31" s="124"/>
      <c r="AS31" s="124">
        <f t="shared" si="71"/>
        <v>11964.945871808955</v>
      </c>
      <c r="AT31" s="124"/>
      <c r="AU31" s="124"/>
      <c r="AV31" s="124">
        <f t="shared" si="72"/>
        <v>12395.683923194078</v>
      </c>
      <c r="AW31" s="124"/>
      <c r="AX31" s="124"/>
      <c r="AY31" s="124">
        <f t="shared" si="73"/>
        <v>12841.928544429065</v>
      </c>
      <c r="AZ31" s="124"/>
      <c r="BA31" s="124"/>
      <c r="BB31" s="124">
        <f t="shared" si="74"/>
        <v>13304.237972028512</v>
      </c>
      <c r="BC31" s="124"/>
      <c r="BD31" s="124"/>
      <c r="BE31" s="124">
        <f t="shared" si="75"/>
        <v>13783.190539021538</v>
      </c>
      <c r="BF31" s="124"/>
      <c r="BG31" s="124"/>
      <c r="BH31" s="124">
        <f t="shared" si="76"/>
        <v>14279.385398426313</v>
      </c>
      <c r="BI31" s="124"/>
      <c r="BJ31" s="124"/>
      <c r="BK31" s="124">
        <f t="shared" si="77"/>
        <v>14793.44327276966</v>
      </c>
      <c r="BL31" s="124"/>
      <c r="BM31" s="124"/>
      <c r="BN31" s="124">
        <f t="shared" si="78"/>
        <v>15326.007230589368</v>
      </c>
      <c r="BO31" s="124"/>
      <c r="BP31" s="124"/>
      <c r="BQ31" s="124">
        <f t="shared" si="79"/>
        <v>15877.743490890585</v>
      </c>
      <c r="BR31" s="124"/>
      <c r="BS31" s="124"/>
      <c r="BT31" s="129">
        <f t="shared" si="60"/>
        <v>0</v>
      </c>
      <c r="BU31" s="124">
        <v>0</v>
      </c>
      <c r="BV31" s="124">
        <v>0</v>
      </c>
      <c r="BW31" s="124">
        <v>0</v>
      </c>
      <c r="BX31" s="124">
        <v>0</v>
      </c>
      <c r="BY31" s="124"/>
      <c r="BZ31" s="124"/>
      <c r="CA31" s="124">
        <v>0</v>
      </c>
      <c r="CB31" s="124"/>
      <c r="CC31" s="124"/>
      <c r="CD31" s="124">
        <f t="shared" si="80"/>
        <v>0</v>
      </c>
      <c r="CE31" s="124"/>
      <c r="CF31" s="124"/>
      <c r="CG31" s="124">
        <f t="shared" si="81"/>
        <v>0</v>
      </c>
      <c r="CH31" s="124"/>
      <c r="CI31" s="124"/>
      <c r="CJ31" s="124">
        <f t="shared" si="82"/>
        <v>0</v>
      </c>
      <c r="CK31" s="124"/>
      <c r="CL31" s="124"/>
      <c r="CM31" s="124">
        <f t="shared" si="83"/>
        <v>0</v>
      </c>
      <c r="CN31" s="124"/>
      <c r="CO31" s="124"/>
      <c r="CP31" s="124">
        <f t="shared" si="84"/>
        <v>0</v>
      </c>
      <c r="CQ31" s="124"/>
      <c r="CR31" s="124"/>
      <c r="CS31" s="124">
        <f t="shared" si="85"/>
        <v>0</v>
      </c>
      <c r="CT31" s="124"/>
      <c r="CU31" s="124"/>
      <c r="CV31" s="124">
        <f t="shared" si="86"/>
        <v>0</v>
      </c>
      <c r="CW31" s="124"/>
      <c r="CX31" s="124"/>
      <c r="CY31" s="124">
        <f t="shared" si="87"/>
        <v>0</v>
      </c>
      <c r="CZ31" s="124"/>
      <c r="DA31" s="124"/>
      <c r="DB31" s="124">
        <f t="shared" si="88"/>
        <v>0</v>
      </c>
      <c r="DC31" s="124"/>
      <c r="DD31" s="124"/>
      <c r="DE31" s="124">
        <f t="shared" si="89"/>
        <v>0</v>
      </c>
      <c r="DF31" s="124"/>
      <c r="DG31" s="124"/>
      <c r="DH31" s="124">
        <f t="shared" si="90"/>
        <v>0</v>
      </c>
      <c r="DI31" s="124"/>
      <c r="DJ31" s="124"/>
      <c r="DK31" s="124">
        <f t="shared" si="91"/>
        <v>0</v>
      </c>
      <c r="DL31" s="124"/>
      <c r="DM31" s="124"/>
      <c r="DN31" s="124">
        <f t="shared" si="92"/>
        <v>0</v>
      </c>
      <c r="DO31" s="124"/>
      <c r="DP31" s="124"/>
      <c r="DQ31" s="124">
        <f t="shared" si="93"/>
        <v>0</v>
      </c>
      <c r="DR31" s="124"/>
      <c r="DS31" s="124"/>
      <c r="DT31" s="124">
        <f t="shared" si="94"/>
        <v>0</v>
      </c>
      <c r="DU31" s="124"/>
      <c r="DV31" s="124"/>
      <c r="DW31" s="124">
        <f t="shared" si="95"/>
        <v>0</v>
      </c>
      <c r="DX31" s="124"/>
      <c r="DY31" s="124"/>
      <c r="DZ31" s="124">
        <f t="shared" si="96"/>
        <v>0</v>
      </c>
      <c r="EA31" s="124"/>
      <c r="EB31" s="124"/>
      <c r="EC31" s="124">
        <f t="shared" si="97"/>
        <v>0</v>
      </c>
      <c r="ED31" s="124"/>
      <c r="EE31" s="124"/>
      <c r="EF31" s="124">
        <f t="shared" si="98"/>
        <v>0</v>
      </c>
      <c r="EG31" s="124"/>
      <c r="EH31" s="124"/>
    </row>
    <row r="32" spans="1:145">
      <c r="A32" s="125" t="s">
        <v>395</v>
      </c>
      <c r="B32" s="126" t="s">
        <v>396</v>
      </c>
      <c r="C32" s="122" t="s">
        <v>349</v>
      </c>
      <c r="D32" s="128">
        <f t="shared" si="58"/>
        <v>0</v>
      </c>
      <c r="E32" s="129">
        <f t="shared" si="59"/>
        <v>0</v>
      </c>
      <c r="F32" s="124">
        <v>0</v>
      </c>
      <c r="G32" s="124">
        <v>0</v>
      </c>
      <c r="H32" s="124">
        <v>0</v>
      </c>
      <c r="I32" s="124"/>
      <c r="J32" s="124"/>
      <c r="K32" s="124"/>
      <c r="L32" s="124">
        <f>I32*L$70</f>
        <v>0</v>
      </c>
      <c r="M32" s="124"/>
      <c r="N32" s="124"/>
      <c r="O32" s="124">
        <f t="shared" si="61"/>
        <v>0</v>
      </c>
      <c r="P32" s="124"/>
      <c r="Q32" s="124"/>
      <c r="R32" s="124">
        <f t="shared" si="62"/>
        <v>0</v>
      </c>
      <c r="S32" s="124"/>
      <c r="T32" s="124"/>
      <c r="U32" s="124">
        <f t="shared" si="63"/>
        <v>0</v>
      </c>
      <c r="V32" s="124"/>
      <c r="W32" s="124"/>
      <c r="X32" s="124">
        <f t="shared" si="64"/>
        <v>0</v>
      </c>
      <c r="Y32" s="124"/>
      <c r="Z32" s="124"/>
      <c r="AA32" s="124">
        <f t="shared" si="65"/>
        <v>0</v>
      </c>
      <c r="AB32" s="124"/>
      <c r="AC32" s="124"/>
      <c r="AD32" s="124">
        <f t="shared" si="66"/>
        <v>0</v>
      </c>
      <c r="AE32" s="124"/>
      <c r="AF32" s="124"/>
      <c r="AG32" s="124">
        <f t="shared" si="67"/>
        <v>0</v>
      </c>
      <c r="AH32" s="124"/>
      <c r="AI32" s="124"/>
      <c r="AJ32" s="124">
        <f t="shared" si="68"/>
        <v>0</v>
      </c>
      <c r="AK32" s="124"/>
      <c r="AL32" s="124"/>
      <c r="AM32" s="124">
        <f t="shared" si="69"/>
        <v>0</v>
      </c>
      <c r="AN32" s="124"/>
      <c r="AO32" s="124"/>
      <c r="AP32" s="124">
        <f t="shared" si="70"/>
        <v>0</v>
      </c>
      <c r="AQ32" s="124"/>
      <c r="AR32" s="124"/>
      <c r="AS32" s="124">
        <f t="shared" si="71"/>
        <v>0</v>
      </c>
      <c r="AT32" s="124"/>
      <c r="AU32" s="124"/>
      <c r="AV32" s="124">
        <f t="shared" si="72"/>
        <v>0</v>
      </c>
      <c r="AW32" s="124"/>
      <c r="AX32" s="124"/>
      <c r="AY32" s="124">
        <f t="shared" si="73"/>
        <v>0</v>
      </c>
      <c r="AZ32" s="124"/>
      <c r="BA32" s="124"/>
      <c r="BB32" s="124">
        <f t="shared" si="74"/>
        <v>0</v>
      </c>
      <c r="BC32" s="124"/>
      <c r="BD32" s="124"/>
      <c r="BE32" s="124">
        <f t="shared" si="75"/>
        <v>0</v>
      </c>
      <c r="BF32" s="124"/>
      <c r="BG32" s="124"/>
      <c r="BH32" s="124">
        <f t="shared" si="76"/>
        <v>0</v>
      </c>
      <c r="BI32" s="124"/>
      <c r="BJ32" s="124"/>
      <c r="BK32" s="124">
        <f t="shared" si="77"/>
        <v>0</v>
      </c>
      <c r="BL32" s="124"/>
      <c r="BM32" s="124"/>
      <c r="BN32" s="124">
        <f t="shared" si="78"/>
        <v>0</v>
      </c>
      <c r="BO32" s="124"/>
      <c r="BP32" s="124"/>
      <c r="BQ32" s="124">
        <f t="shared" si="79"/>
        <v>0</v>
      </c>
      <c r="BR32" s="124"/>
      <c r="BS32" s="124"/>
      <c r="BT32" s="129">
        <f t="shared" si="60"/>
        <v>0</v>
      </c>
      <c r="BU32" s="124">
        <v>0</v>
      </c>
      <c r="BV32" s="124">
        <v>0</v>
      </c>
      <c r="BW32" s="124">
        <v>0</v>
      </c>
      <c r="BX32" s="124"/>
      <c r="BY32" s="124"/>
      <c r="BZ32" s="124"/>
      <c r="CA32" s="124">
        <v>0</v>
      </c>
      <c r="CB32" s="124"/>
      <c r="CC32" s="124"/>
      <c r="CD32" s="124">
        <f t="shared" si="80"/>
        <v>0</v>
      </c>
      <c r="CE32" s="124"/>
      <c r="CF32" s="124"/>
      <c r="CG32" s="124">
        <f t="shared" si="81"/>
        <v>0</v>
      </c>
      <c r="CH32" s="124"/>
      <c r="CI32" s="124"/>
      <c r="CJ32" s="124">
        <f t="shared" si="82"/>
        <v>0</v>
      </c>
      <c r="CK32" s="124"/>
      <c r="CL32" s="124"/>
      <c r="CM32" s="124">
        <f t="shared" si="83"/>
        <v>0</v>
      </c>
      <c r="CN32" s="124"/>
      <c r="CO32" s="124"/>
      <c r="CP32" s="124">
        <f t="shared" si="84"/>
        <v>0</v>
      </c>
      <c r="CQ32" s="124"/>
      <c r="CR32" s="124"/>
      <c r="CS32" s="124">
        <f t="shared" si="85"/>
        <v>0</v>
      </c>
      <c r="CT32" s="124"/>
      <c r="CU32" s="124"/>
      <c r="CV32" s="124">
        <f t="shared" si="86"/>
        <v>0</v>
      </c>
      <c r="CW32" s="124"/>
      <c r="CX32" s="124"/>
      <c r="CY32" s="124">
        <f t="shared" si="87"/>
        <v>0</v>
      </c>
      <c r="CZ32" s="124"/>
      <c r="DA32" s="124"/>
      <c r="DB32" s="124">
        <f t="shared" si="88"/>
        <v>0</v>
      </c>
      <c r="DC32" s="124"/>
      <c r="DD32" s="124"/>
      <c r="DE32" s="124">
        <f t="shared" si="89"/>
        <v>0</v>
      </c>
      <c r="DF32" s="124"/>
      <c r="DG32" s="124"/>
      <c r="DH32" s="124">
        <f t="shared" si="90"/>
        <v>0</v>
      </c>
      <c r="DI32" s="124"/>
      <c r="DJ32" s="124"/>
      <c r="DK32" s="124">
        <f t="shared" si="91"/>
        <v>0</v>
      </c>
      <c r="DL32" s="124"/>
      <c r="DM32" s="124"/>
      <c r="DN32" s="124">
        <f t="shared" si="92"/>
        <v>0</v>
      </c>
      <c r="DO32" s="124"/>
      <c r="DP32" s="124"/>
      <c r="DQ32" s="124">
        <f t="shared" si="93"/>
        <v>0</v>
      </c>
      <c r="DR32" s="124"/>
      <c r="DS32" s="124"/>
      <c r="DT32" s="124">
        <f t="shared" si="94"/>
        <v>0</v>
      </c>
      <c r="DU32" s="124"/>
      <c r="DV32" s="124"/>
      <c r="DW32" s="124">
        <f t="shared" si="95"/>
        <v>0</v>
      </c>
      <c r="DX32" s="124"/>
      <c r="DY32" s="124"/>
      <c r="DZ32" s="124">
        <f t="shared" si="96"/>
        <v>0</v>
      </c>
      <c r="EA32" s="124"/>
      <c r="EB32" s="124"/>
      <c r="EC32" s="124">
        <f t="shared" si="97"/>
        <v>0</v>
      </c>
      <c r="ED32" s="124"/>
      <c r="EE32" s="124"/>
      <c r="EF32" s="124">
        <f t="shared" si="98"/>
        <v>0</v>
      </c>
      <c r="EG32" s="124"/>
      <c r="EH32" s="124"/>
    </row>
    <row r="33" spans="1:141">
      <c r="A33" s="125" t="s">
        <v>397</v>
      </c>
      <c r="B33" s="126" t="s">
        <v>398</v>
      </c>
      <c r="C33" s="122" t="s">
        <v>349</v>
      </c>
      <c r="D33" s="128">
        <f t="shared" si="58"/>
        <v>3128.5088545730923</v>
      </c>
      <c r="E33" s="129">
        <f t="shared" si="59"/>
        <v>2027.0612811542617</v>
      </c>
      <c r="F33" s="124">
        <v>23.47719</v>
      </c>
      <c r="G33" s="124">
        <v>49.332479999999997</v>
      </c>
      <c r="H33" s="124">
        <v>55.228369999999998</v>
      </c>
      <c r="I33" s="124">
        <v>59.88176</v>
      </c>
      <c r="J33" s="124"/>
      <c r="K33" s="124"/>
      <c r="L33" s="124">
        <v>64.368547624240193</v>
      </c>
      <c r="M33" s="124"/>
      <c r="N33" s="124"/>
      <c r="O33" s="124">
        <f t="shared" si="61"/>
        <v>66.685815338712843</v>
      </c>
      <c r="P33" s="124"/>
      <c r="Q33" s="124"/>
      <c r="R33" s="124">
        <f t="shared" si="62"/>
        <v>69.086504690906509</v>
      </c>
      <c r="S33" s="124"/>
      <c r="T33" s="124"/>
      <c r="U33" s="124">
        <f t="shared" si="63"/>
        <v>71.573618859779145</v>
      </c>
      <c r="V33" s="124"/>
      <c r="W33" s="124"/>
      <c r="X33" s="124">
        <f t="shared" si="64"/>
        <v>74.15026913873119</v>
      </c>
      <c r="Y33" s="124"/>
      <c r="Z33" s="124"/>
      <c r="AA33" s="124">
        <f t="shared" si="65"/>
        <v>76.819678827725511</v>
      </c>
      <c r="AB33" s="124"/>
      <c r="AC33" s="124"/>
      <c r="AD33" s="124">
        <f t="shared" si="66"/>
        <v>79.585187265523629</v>
      </c>
      <c r="AE33" s="124"/>
      <c r="AF33" s="124"/>
      <c r="AG33" s="124">
        <f t="shared" si="67"/>
        <v>82.450254007082478</v>
      </c>
      <c r="AH33" s="124"/>
      <c r="AI33" s="124"/>
      <c r="AJ33" s="124">
        <f t="shared" si="68"/>
        <v>85.418463151337448</v>
      </c>
      <c r="AK33" s="124"/>
      <c r="AL33" s="124"/>
      <c r="AM33" s="124">
        <f t="shared" si="69"/>
        <v>88.493527824785602</v>
      </c>
      <c r="AN33" s="124"/>
      <c r="AO33" s="124"/>
      <c r="AP33" s="124">
        <f t="shared" si="70"/>
        <v>91.679294826477886</v>
      </c>
      <c r="AQ33" s="124"/>
      <c r="AR33" s="124"/>
      <c r="AS33" s="124">
        <f t="shared" si="71"/>
        <v>94.979749440231089</v>
      </c>
      <c r="AT33" s="124"/>
      <c r="AU33" s="124"/>
      <c r="AV33" s="124">
        <f t="shared" si="72"/>
        <v>98.39902042007941</v>
      </c>
      <c r="AW33" s="124"/>
      <c r="AX33" s="124"/>
      <c r="AY33" s="124">
        <f t="shared" si="73"/>
        <v>101.94138515520227</v>
      </c>
      <c r="AZ33" s="124"/>
      <c r="BA33" s="124"/>
      <c r="BB33" s="124">
        <f t="shared" si="74"/>
        <v>105.61127502078955</v>
      </c>
      <c r="BC33" s="124"/>
      <c r="BD33" s="124"/>
      <c r="BE33" s="124">
        <f t="shared" si="75"/>
        <v>109.41328092153798</v>
      </c>
      <c r="BF33" s="124"/>
      <c r="BG33" s="124"/>
      <c r="BH33" s="124">
        <f t="shared" si="76"/>
        <v>113.35215903471335</v>
      </c>
      <c r="BI33" s="124"/>
      <c r="BJ33" s="124"/>
      <c r="BK33" s="124">
        <f t="shared" si="77"/>
        <v>117.43283675996304</v>
      </c>
      <c r="BL33" s="124"/>
      <c r="BM33" s="124"/>
      <c r="BN33" s="124">
        <f t="shared" si="78"/>
        <v>121.66041888332171</v>
      </c>
      <c r="BO33" s="124"/>
      <c r="BP33" s="124"/>
      <c r="BQ33" s="124">
        <f t="shared" si="79"/>
        <v>126.0401939631213</v>
      </c>
      <c r="BR33" s="124"/>
      <c r="BS33" s="124"/>
      <c r="BT33" s="129">
        <f t="shared" si="60"/>
        <v>1101.4475734188304</v>
      </c>
      <c r="BU33" s="124">
        <v>10.69027</v>
      </c>
      <c r="BV33" s="124">
        <v>29.954609999999999</v>
      </c>
      <c r="BW33" s="124">
        <v>33.078659999999999</v>
      </c>
      <c r="BX33" s="124">
        <v>38.232379999999999</v>
      </c>
      <c r="BY33" s="124"/>
      <c r="BZ33" s="124"/>
      <c r="CA33" s="124">
        <v>34.6314523757598</v>
      </c>
      <c r="CB33" s="124"/>
      <c r="CC33" s="124"/>
      <c r="CD33" s="124">
        <f t="shared" si="80"/>
        <v>35.87818466128715</v>
      </c>
      <c r="CE33" s="124"/>
      <c r="CF33" s="124"/>
      <c r="CG33" s="124">
        <f t="shared" si="81"/>
        <v>37.169799309093492</v>
      </c>
      <c r="CH33" s="124"/>
      <c r="CI33" s="124"/>
      <c r="CJ33" s="124">
        <f t="shared" si="82"/>
        <v>38.507912084220855</v>
      </c>
      <c r="CK33" s="124"/>
      <c r="CL33" s="124"/>
      <c r="CM33" s="124">
        <f t="shared" si="83"/>
        <v>39.894196919252806</v>
      </c>
      <c r="CN33" s="124"/>
      <c r="CO33" s="124"/>
      <c r="CP33" s="124">
        <f t="shared" si="84"/>
        <v>41.330388008345906</v>
      </c>
      <c r="CQ33" s="124"/>
      <c r="CR33" s="124"/>
      <c r="CS33" s="124">
        <f t="shared" si="85"/>
        <v>42.818281976646361</v>
      </c>
      <c r="CT33" s="124"/>
      <c r="CU33" s="124"/>
      <c r="CV33" s="124">
        <f t="shared" si="86"/>
        <v>44.35974012780563</v>
      </c>
      <c r="CW33" s="124"/>
      <c r="CX33" s="124"/>
      <c r="CY33" s="124">
        <f t="shared" si="87"/>
        <v>45.956690772406631</v>
      </c>
      <c r="CZ33" s="124"/>
      <c r="DA33" s="124"/>
      <c r="DB33" s="124">
        <f t="shared" si="88"/>
        <v>47.611131640213273</v>
      </c>
      <c r="DC33" s="124"/>
      <c r="DD33" s="124"/>
      <c r="DE33" s="124">
        <f t="shared" si="89"/>
        <v>49.32513237926095</v>
      </c>
      <c r="DF33" s="124"/>
      <c r="DG33" s="124"/>
      <c r="DH33" s="124">
        <f t="shared" si="90"/>
        <v>51.100837144914344</v>
      </c>
      <c r="DI33" s="124"/>
      <c r="DJ33" s="124"/>
      <c r="DK33" s="124">
        <f t="shared" si="91"/>
        <v>52.940467282131259</v>
      </c>
      <c r="DL33" s="124"/>
      <c r="DM33" s="124"/>
      <c r="DN33" s="124">
        <f t="shared" si="92"/>
        <v>54.846324104287987</v>
      </c>
      <c r="DO33" s="124"/>
      <c r="DP33" s="124"/>
      <c r="DQ33" s="124">
        <f t="shared" si="93"/>
        <v>56.820791772042355</v>
      </c>
      <c r="DR33" s="124"/>
      <c r="DS33" s="124"/>
      <c r="DT33" s="124">
        <f t="shared" si="94"/>
        <v>58.866340275835881</v>
      </c>
      <c r="DU33" s="124"/>
      <c r="DV33" s="124"/>
      <c r="DW33" s="124">
        <f t="shared" si="95"/>
        <v>60.985528525765972</v>
      </c>
      <c r="DX33" s="124"/>
      <c r="DY33" s="124"/>
      <c r="DZ33" s="124">
        <f t="shared" si="96"/>
        <v>63.181007552693551</v>
      </c>
      <c r="EA33" s="124"/>
      <c r="EB33" s="124"/>
      <c r="EC33" s="124">
        <f t="shared" si="97"/>
        <v>65.455523824590514</v>
      </c>
      <c r="ED33" s="124"/>
      <c r="EE33" s="124"/>
      <c r="EF33" s="124">
        <f t="shared" si="98"/>
        <v>67.811922682275778</v>
      </c>
      <c r="EG33" s="124"/>
      <c r="EH33" s="124"/>
    </row>
    <row r="34" spans="1:141" ht="30">
      <c r="A34" s="125" t="s">
        <v>399</v>
      </c>
      <c r="B34" s="126" t="s">
        <v>400</v>
      </c>
      <c r="C34" s="122" t="s">
        <v>349</v>
      </c>
      <c r="D34" s="128">
        <f t="shared" si="58"/>
        <v>4789.8432640112942</v>
      </c>
      <c r="E34" s="129">
        <f t="shared" si="59"/>
        <v>213.57595411</v>
      </c>
      <c r="F34" s="124">
        <v>18.2224</v>
      </c>
      <c r="G34" s="124">
        <v>29.875209999999999</v>
      </c>
      <c r="H34" s="124">
        <v>10.499549999999999</v>
      </c>
      <c r="I34" s="124">
        <v>15.092320000000001</v>
      </c>
      <c r="J34" s="124"/>
      <c r="K34" s="124"/>
      <c r="L34" s="124">
        <v>4.8959197881206</v>
      </c>
      <c r="M34" s="124"/>
      <c r="N34" s="124"/>
      <c r="O34" s="124">
        <f t="shared" si="61"/>
        <v>5.0721729004929417</v>
      </c>
      <c r="P34" s="124"/>
      <c r="Q34" s="124"/>
      <c r="R34" s="124">
        <f t="shared" si="62"/>
        <v>5.2547711249106879</v>
      </c>
      <c r="S34" s="124"/>
      <c r="T34" s="124"/>
      <c r="U34" s="124">
        <f t="shared" si="63"/>
        <v>5.4439428854074725</v>
      </c>
      <c r="V34" s="124"/>
      <c r="W34" s="124"/>
      <c r="X34" s="124">
        <f t="shared" si="64"/>
        <v>5.6399248292821413</v>
      </c>
      <c r="Y34" s="124"/>
      <c r="Z34" s="124"/>
      <c r="AA34" s="124">
        <f t="shared" si="65"/>
        <v>5.8429621231362985</v>
      </c>
      <c r="AB34" s="124"/>
      <c r="AC34" s="124"/>
      <c r="AD34" s="124">
        <f t="shared" si="66"/>
        <v>6.0533087595692052</v>
      </c>
      <c r="AE34" s="124"/>
      <c r="AF34" s="124"/>
      <c r="AG34" s="124">
        <f t="shared" si="67"/>
        <v>6.2712278749136967</v>
      </c>
      <c r="AH34" s="124"/>
      <c r="AI34" s="124"/>
      <c r="AJ34" s="124">
        <f t="shared" si="68"/>
        <v>6.4969920784105897</v>
      </c>
      <c r="AK34" s="124"/>
      <c r="AL34" s="124"/>
      <c r="AM34" s="124">
        <f t="shared" si="69"/>
        <v>6.7308837932333709</v>
      </c>
      <c r="AN34" s="124"/>
      <c r="AO34" s="124"/>
      <c r="AP34" s="124">
        <f t="shared" si="70"/>
        <v>6.9731956097897729</v>
      </c>
      <c r="AQ34" s="124"/>
      <c r="AR34" s="124"/>
      <c r="AS34" s="124">
        <f t="shared" si="71"/>
        <v>7.2242306517422046</v>
      </c>
      <c r="AT34" s="124"/>
      <c r="AU34" s="124"/>
      <c r="AV34" s="124">
        <f t="shared" si="72"/>
        <v>7.4843029552049245</v>
      </c>
      <c r="AW34" s="124"/>
      <c r="AX34" s="124"/>
      <c r="AY34" s="124">
        <f t="shared" si="73"/>
        <v>7.7537378615923016</v>
      </c>
      <c r="AZ34" s="124"/>
      <c r="BA34" s="124"/>
      <c r="BB34" s="124">
        <f t="shared" si="74"/>
        <v>8.032872424609625</v>
      </c>
      <c r="BC34" s="124"/>
      <c r="BD34" s="124"/>
      <c r="BE34" s="124">
        <f t="shared" si="75"/>
        <v>8.3220558318955717</v>
      </c>
      <c r="BF34" s="124"/>
      <c r="BG34" s="124"/>
      <c r="BH34" s="124">
        <f t="shared" si="76"/>
        <v>8.6216498418438121</v>
      </c>
      <c r="BI34" s="124"/>
      <c r="BJ34" s="124"/>
      <c r="BK34" s="124">
        <f t="shared" si="77"/>
        <v>8.9320292361501892</v>
      </c>
      <c r="BL34" s="124"/>
      <c r="BM34" s="124"/>
      <c r="BN34" s="124">
        <f t="shared" si="78"/>
        <v>9.2535822886515966</v>
      </c>
      <c r="BO34" s="124"/>
      <c r="BP34" s="124"/>
      <c r="BQ34" s="124">
        <f t="shared" si="79"/>
        <v>9.5867112510430541</v>
      </c>
      <c r="BR34" s="124"/>
      <c r="BS34" s="124"/>
      <c r="BT34" s="129">
        <f t="shared" si="60"/>
        <v>4576.2673099012945</v>
      </c>
      <c r="BU34" s="124">
        <v>321.46503000000001</v>
      </c>
      <c r="BV34" s="124">
        <v>425.06337000000002</v>
      </c>
      <c r="BW34" s="124">
        <v>260.51688999999999</v>
      </c>
      <c r="BX34" s="124">
        <v>98.331440000000001</v>
      </c>
      <c r="BY34" s="124"/>
      <c r="BZ34" s="124"/>
      <c r="CA34" s="124">
        <v>121.478520211879</v>
      </c>
      <c r="CB34" s="124"/>
      <c r="CC34" s="124"/>
      <c r="CD34" s="124">
        <f t="shared" si="80"/>
        <v>125.85174693950665</v>
      </c>
      <c r="CE34" s="124"/>
      <c r="CF34" s="124"/>
      <c r="CG34" s="124">
        <f t="shared" si="81"/>
        <v>130.38240982932891</v>
      </c>
      <c r="CH34" s="124"/>
      <c r="CI34" s="124"/>
      <c r="CJ34" s="124">
        <f t="shared" si="82"/>
        <v>135.07617658318475</v>
      </c>
      <c r="CK34" s="124"/>
      <c r="CL34" s="124"/>
      <c r="CM34" s="124">
        <f t="shared" si="83"/>
        <v>139.93891894017941</v>
      </c>
      <c r="CN34" s="124"/>
      <c r="CO34" s="124"/>
      <c r="CP34" s="124">
        <f t="shared" si="84"/>
        <v>144.97672002202586</v>
      </c>
      <c r="CQ34" s="124"/>
      <c r="CR34" s="124"/>
      <c r="CS34" s="124">
        <f t="shared" si="85"/>
        <v>150.1958819428188</v>
      </c>
      <c r="CT34" s="124"/>
      <c r="CU34" s="124"/>
      <c r="CV34" s="124">
        <f t="shared" si="86"/>
        <v>155.60293369276027</v>
      </c>
      <c r="CW34" s="124"/>
      <c r="CX34" s="124"/>
      <c r="CY34" s="124">
        <f t="shared" si="87"/>
        <v>161.20463930569966</v>
      </c>
      <c r="CZ34" s="124"/>
      <c r="DA34" s="124"/>
      <c r="DB34" s="124">
        <f t="shared" si="88"/>
        <v>167.00800632070485</v>
      </c>
      <c r="DC34" s="124"/>
      <c r="DD34" s="124"/>
      <c r="DE34" s="124">
        <f t="shared" si="89"/>
        <v>173.02029454825023</v>
      </c>
      <c r="DF34" s="124"/>
      <c r="DG34" s="124"/>
      <c r="DH34" s="124">
        <f t="shared" si="90"/>
        <v>179.24902515198724</v>
      </c>
      <c r="DI34" s="124"/>
      <c r="DJ34" s="124"/>
      <c r="DK34" s="124">
        <f t="shared" si="91"/>
        <v>185.7019900574588</v>
      </c>
      <c r="DL34" s="124"/>
      <c r="DM34" s="124"/>
      <c r="DN34" s="124">
        <f t="shared" si="92"/>
        <v>192.38726169952733</v>
      </c>
      <c r="DO34" s="124"/>
      <c r="DP34" s="124"/>
      <c r="DQ34" s="124">
        <f t="shared" si="93"/>
        <v>199.31320312071031</v>
      </c>
      <c r="DR34" s="124"/>
      <c r="DS34" s="124"/>
      <c r="DT34" s="124">
        <f t="shared" si="94"/>
        <v>206.48847843305589</v>
      </c>
      <c r="DU34" s="124"/>
      <c r="DV34" s="124"/>
      <c r="DW34" s="124">
        <f t="shared" si="95"/>
        <v>213.92206365664592</v>
      </c>
      <c r="DX34" s="124"/>
      <c r="DY34" s="124"/>
      <c r="DZ34" s="124">
        <f t="shared" si="96"/>
        <v>221.62325794828519</v>
      </c>
      <c r="EA34" s="124"/>
      <c r="EB34" s="124"/>
      <c r="EC34" s="124">
        <f t="shared" si="97"/>
        <v>229.60169523442346</v>
      </c>
      <c r="ED34" s="124"/>
      <c r="EE34" s="124"/>
      <c r="EF34" s="124">
        <f t="shared" si="98"/>
        <v>237.8673562628627</v>
      </c>
      <c r="EG34" s="124"/>
      <c r="EH34" s="124"/>
    </row>
    <row r="35" spans="1:141">
      <c r="A35" s="125" t="s">
        <v>401</v>
      </c>
      <c r="B35" s="126" t="s">
        <v>402</v>
      </c>
      <c r="C35" s="122" t="s">
        <v>349</v>
      </c>
      <c r="D35" s="128">
        <f t="shared" si="58"/>
        <v>0</v>
      </c>
      <c r="E35" s="129">
        <f t="shared" si="59"/>
        <v>0</v>
      </c>
      <c r="F35" s="124">
        <v>0</v>
      </c>
      <c r="G35" s="124">
        <v>0</v>
      </c>
      <c r="H35" s="124">
        <v>0</v>
      </c>
      <c r="I35" s="124"/>
      <c r="J35" s="124"/>
      <c r="K35" s="124"/>
      <c r="L35" s="124">
        <f>I35*L$70</f>
        <v>0</v>
      </c>
      <c r="M35" s="124"/>
      <c r="N35" s="124"/>
      <c r="O35" s="124">
        <f t="shared" si="61"/>
        <v>0</v>
      </c>
      <c r="P35" s="124"/>
      <c r="Q35" s="124"/>
      <c r="R35" s="124">
        <f t="shared" si="62"/>
        <v>0</v>
      </c>
      <c r="S35" s="124"/>
      <c r="T35" s="124"/>
      <c r="U35" s="124">
        <f t="shared" si="63"/>
        <v>0</v>
      </c>
      <c r="V35" s="124"/>
      <c r="W35" s="124"/>
      <c r="X35" s="124">
        <f t="shared" si="64"/>
        <v>0</v>
      </c>
      <c r="Y35" s="124"/>
      <c r="Z35" s="124"/>
      <c r="AA35" s="124">
        <f t="shared" si="65"/>
        <v>0</v>
      </c>
      <c r="AB35" s="124"/>
      <c r="AC35" s="124"/>
      <c r="AD35" s="124">
        <f t="shared" si="66"/>
        <v>0</v>
      </c>
      <c r="AE35" s="124"/>
      <c r="AF35" s="124"/>
      <c r="AG35" s="124">
        <f t="shared" si="67"/>
        <v>0</v>
      </c>
      <c r="AH35" s="124"/>
      <c r="AI35" s="124"/>
      <c r="AJ35" s="124">
        <f t="shared" si="68"/>
        <v>0</v>
      </c>
      <c r="AK35" s="124"/>
      <c r="AL35" s="124"/>
      <c r="AM35" s="124">
        <f t="shared" si="69"/>
        <v>0</v>
      </c>
      <c r="AN35" s="124"/>
      <c r="AO35" s="124"/>
      <c r="AP35" s="124">
        <f t="shared" si="70"/>
        <v>0</v>
      </c>
      <c r="AQ35" s="124"/>
      <c r="AR35" s="124"/>
      <c r="AS35" s="124">
        <f t="shared" si="71"/>
        <v>0</v>
      </c>
      <c r="AT35" s="124"/>
      <c r="AU35" s="124"/>
      <c r="AV35" s="124">
        <f t="shared" si="72"/>
        <v>0</v>
      </c>
      <c r="AW35" s="124"/>
      <c r="AX35" s="124"/>
      <c r="AY35" s="124">
        <f t="shared" si="73"/>
        <v>0</v>
      </c>
      <c r="AZ35" s="124"/>
      <c r="BA35" s="124"/>
      <c r="BB35" s="124">
        <f t="shared" si="74"/>
        <v>0</v>
      </c>
      <c r="BC35" s="124"/>
      <c r="BD35" s="124"/>
      <c r="BE35" s="124">
        <f t="shared" si="75"/>
        <v>0</v>
      </c>
      <c r="BF35" s="124"/>
      <c r="BG35" s="124"/>
      <c r="BH35" s="124">
        <f t="shared" si="76"/>
        <v>0</v>
      </c>
      <c r="BI35" s="124"/>
      <c r="BJ35" s="124"/>
      <c r="BK35" s="124">
        <f t="shared" si="77"/>
        <v>0</v>
      </c>
      <c r="BL35" s="124"/>
      <c r="BM35" s="124"/>
      <c r="BN35" s="124">
        <f t="shared" si="78"/>
        <v>0</v>
      </c>
      <c r="BO35" s="124"/>
      <c r="BP35" s="124"/>
      <c r="BQ35" s="124">
        <f t="shared" si="79"/>
        <v>0</v>
      </c>
      <c r="BR35" s="124"/>
      <c r="BS35" s="124"/>
      <c r="BT35" s="129">
        <f t="shared" si="60"/>
        <v>0</v>
      </c>
      <c r="BU35" s="124">
        <v>0</v>
      </c>
      <c r="BV35" s="124">
        <v>0</v>
      </c>
      <c r="BW35" s="124">
        <v>0</v>
      </c>
      <c r="BX35" s="124">
        <v>0</v>
      </c>
      <c r="BY35" s="124"/>
      <c r="BZ35" s="124"/>
      <c r="CA35" s="124">
        <v>0</v>
      </c>
      <c r="CB35" s="124"/>
      <c r="CC35" s="124"/>
      <c r="CD35" s="124">
        <f t="shared" si="80"/>
        <v>0</v>
      </c>
      <c r="CE35" s="124"/>
      <c r="CF35" s="124"/>
      <c r="CG35" s="124">
        <f t="shared" si="81"/>
        <v>0</v>
      </c>
      <c r="CH35" s="124"/>
      <c r="CI35" s="124"/>
      <c r="CJ35" s="124">
        <f t="shared" si="82"/>
        <v>0</v>
      </c>
      <c r="CK35" s="124"/>
      <c r="CL35" s="124"/>
      <c r="CM35" s="124">
        <f t="shared" si="83"/>
        <v>0</v>
      </c>
      <c r="CN35" s="124"/>
      <c r="CO35" s="124"/>
      <c r="CP35" s="124">
        <f t="shared" si="84"/>
        <v>0</v>
      </c>
      <c r="CQ35" s="124"/>
      <c r="CR35" s="124"/>
      <c r="CS35" s="124">
        <f t="shared" si="85"/>
        <v>0</v>
      </c>
      <c r="CT35" s="124"/>
      <c r="CU35" s="124"/>
      <c r="CV35" s="124">
        <f t="shared" si="86"/>
        <v>0</v>
      </c>
      <c r="CW35" s="124"/>
      <c r="CX35" s="124"/>
      <c r="CY35" s="124">
        <f t="shared" si="87"/>
        <v>0</v>
      </c>
      <c r="CZ35" s="124"/>
      <c r="DA35" s="124"/>
      <c r="DB35" s="124">
        <f t="shared" si="88"/>
        <v>0</v>
      </c>
      <c r="DC35" s="124"/>
      <c r="DD35" s="124"/>
      <c r="DE35" s="124">
        <f t="shared" si="89"/>
        <v>0</v>
      </c>
      <c r="DF35" s="124"/>
      <c r="DG35" s="124"/>
      <c r="DH35" s="124">
        <f t="shared" si="90"/>
        <v>0</v>
      </c>
      <c r="DI35" s="124"/>
      <c r="DJ35" s="124"/>
      <c r="DK35" s="124">
        <f t="shared" si="91"/>
        <v>0</v>
      </c>
      <c r="DL35" s="124"/>
      <c r="DM35" s="124"/>
      <c r="DN35" s="124">
        <f t="shared" si="92"/>
        <v>0</v>
      </c>
      <c r="DO35" s="124"/>
      <c r="DP35" s="124"/>
      <c r="DQ35" s="124">
        <f t="shared" si="93"/>
        <v>0</v>
      </c>
      <c r="DR35" s="124"/>
      <c r="DS35" s="124"/>
      <c r="DT35" s="124">
        <f t="shared" si="94"/>
        <v>0</v>
      </c>
      <c r="DU35" s="124"/>
      <c r="DV35" s="124"/>
      <c r="DW35" s="124">
        <f t="shared" si="95"/>
        <v>0</v>
      </c>
      <c r="DX35" s="124"/>
      <c r="DY35" s="124"/>
      <c r="DZ35" s="124">
        <f t="shared" si="96"/>
        <v>0</v>
      </c>
      <c r="EA35" s="124"/>
      <c r="EB35" s="124"/>
      <c r="EC35" s="124">
        <f t="shared" si="97"/>
        <v>0</v>
      </c>
      <c r="ED35" s="124"/>
      <c r="EE35" s="124"/>
      <c r="EF35" s="124">
        <f t="shared" si="98"/>
        <v>0</v>
      </c>
      <c r="EG35" s="124"/>
      <c r="EH35" s="124"/>
    </row>
    <row r="36" spans="1:141" ht="30">
      <c r="A36" s="125" t="s">
        <v>403</v>
      </c>
      <c r="B36" s="126" t="s">
        <v>404</v>
      </c>
      <c r="C36" s="122" t="s">
        <v>349</v>
      </c>
      <c r="D36" s="128">
        <f t="shared" ref="D36:I36" si="99">D37+D38+D39</f>
        <v>372755.43406221655</v>
      </c>
      <c r="E36" s="123">
        <f t="shared" si="99"/>
        <v>244248.36490362737</v>
      </c>
      <c r="F36" s="124">
        <f t="shared" si="99"/>
        <v>5132.2559621790297</v>
      </c>
      <c r="G36" s="124">
        <f t="shared" si="99"/>
        <v>6489.56358</v>
      </c>
      <c r="H36" s="124">
        <f t="shared" si="99"/>
        <v>9354.7776599999997</v>
      </c>
      <c r="I36" s="124">
        <f t="shared" si="99"/>
        <v>9203.2328500000003</v>
      </c>
      <c r="J36" s="124"/>
      <c r="K36" s="124"/>
      <c r="L36" s="124">
        <f>L37+L38+L39</f>
        <v>8156.04</v>
      </c>
      <c r="M36" s="124"/>
      <c r="N36" s="124"/>
      <c r="O36" s="124">
        <f>O37+O38+O39</f>
        <v>7737.0137599999998</v>
      </c>
      <c r="P36" s="124"/>
      <c r="Q36" s="124"/>
      <c r="R36" s="124">
        <f>R37+R38+R39</f>
        <v>8015.54625536</v>
      </c>
      <c r="S36" s="124"/>
      <c r="T36" s="124"/>
      <c r="U36" s="124">
        <f>U37+U38+U39</f>
        <v>8304.10592055296</v>
      </c>
      <c r="V36" s="124"/>
      <c r="W36" s="124"/>
      <c r="X36" s="124">
        <f>X37+X38+X39</f>
        <v>8603.0537336928664</v>
      </c>
      <c r="Y36" s="124"/>
      <c r="Z36" s="124"/>
      <c r="AA36" s="124">
        <f>AA37+AA38+AA39</f>
        <v>8912.7636681058102</v>
      </c>
      <c r="AB36" s="124"/>
      <c r="AC36" s="124"/>
      <c r="AD36" s="124">
        <f>AD37+AD38+AD39</f>
        <v>9233.6231601576201</v>
      </c>
      <c r="AE36" s="124"/>
      <c r="AF36" s="124"/>
      <c r="AG36" s="124">
        <f>AG37+AG38+AG39</f>
        <v>9566.0335939232955</v>
      </c>
      <c r="AH36" s="124"/>
      <c r="AI36" s="124"/>
      <c r="AJ36" s="124">
        <f>AJ37+AJ38+AJ39</f>
        <v>9910.4108033045341</v>
      </c>
      <c r="AK36" s="124"/>
      <c r="AL36" s="124"/>
      <c r="AM36" s="124">
        <f>AM37+AM38+AM39</f>
        <v>10267.185592223497</v>
      </c>
      <c r="AN36" s="124"/>
      <c r="AO36" s="124"/>
      <c r="AP36" s="124">
        <f>AP37+AP38+AP39</f>
        <v>10636.804273543543</v>
      </c>
      <c r="AQ36" s="124"/>
      <c r="AR36" s="124"/>
      <c r="AS36" s="124">
        <f>AS37+AS38+AS39</f>
        <v>11019.729227391112</v>
      </c>
      <c r="AT36" s="124"/>
      <c r="AU36" s="124"/>
      <c r="AV36" s="124">
        <f>AV37+AV38+AV39</f>
        <v>11416.439479577191</v>
      </c>
      <c r="AW36" s="124"/>
      <c r="AX36" s="124"/>
      <c r="AY36" s="124">
        <f>AY37+AY38+AY39</f>
        <v>11827.43130084197</v>
      </c>
      <c r="AZ36" s="124"/>
      <c r="BA36" s="124"/>
      <c r="BB36" s="124">
        <f>BB37+BB38+BB39</f>
        <v>12253.218827672281</v>
      </c>
      <c r="BC36" s="124"/>
      <c r="BD36" s="124"/>
      <c r="BE36" s="124">
        <f>BE37+BE38+BE39</f>
        <v>12694.334705468484</v>
      </c>
      <c r="BF36" s="124"/>
      <c r="BG36" s="124"/>
      <c r="BH36" s="124">
        <f>BH37+BH38+BH39</f>
        <v>13151.33075486535</v>
      </c>
      <c r="BI36" s="124"/>
      <c r="BJ36" s="124"/>
      <c r="BK36" s="124">
        <f>BK37+BK38+BK39</f>
        <v>13624.778662040504</v>
      </c>
      <c r="BL36" s="124"/>
      <c r="BM36" s="124"/>
      <c r="BN36" s="124">
        <f>BN37+BN38+BN39</f>
        <v>14115.270693873963</v>
      </c>
      <c r="BO36" s="124"/>
      <c r="BP36" s="124"/>
      <c r="BQ36" s="124">
        <f t="shared" ref="BQ36:BX36" si="100">BQ37+BQ38+BQ39</f>
        <v>14623.420438853425</v>
      </c>
      <c r="BR36" s="124"/>
      <c r="BS36" s="124"/>
      <c r="BT36" s="160">
        <f t="shared" si="100"/>
        <v>128507.06915858916</v>
      </c>
      <c r="BU36" s="124">
        <f t="shared" si="100"/>
        <v>4296.5640638479399</v>
      </c>
      <c r="BV36" s="124">
        <f t="shared" si="100"/>
        <v>4117.4239900000002</v>
      </c>
      <c r="BW36" s="124">
        <f t="shared" si="100"/>
        <v>5011.5061800000003</v>
      </c>
      <c r="BX36" s="124">
        <f t="shared" si="100"/>
        <v>5024.8064199999999</v>
      </c>
      <c r="BY36" s="124"/>
      <c r="BZ36" s="124"/>
      <c r="CA36" s="124">
        <f>CA37+CA38+CA39</f>
        <v>4209.04</v>
      </c>
      <c r="CB36" s="124"/>
      <c r="CC36" s="124"/>
      <c r="CD36" s="124">
        <f>CD37+CD38+CD39</f>
        <v>3977.1522</v>
      </c>
      <c r="CE36" s="124"/>
      <c r="CF36" s="124"/>
      <c r="CG36" s="124">
        <f>CG37+CG38+CG39</f>
        <v>4120.3296792000001</v>
      </c>
      <c r="CH36" s="124"/>
      <c r="CI36" s="124"/>
      <c r="CJ36" s="124">
        <f>CJ37+CJ38+CJ39</f>
        <v>4268.6615476512006</v>
      </c>
      <c r="CK36" s="124"/>
      <c r="CL36" s="124"/>
      <c r="CM36" s="124">
        <f>CM37+CM38+CM39</f>
        <v>4422.3333633666443</v>
      </c>
      <c r="CN36" s="124"/>
      <c r="CO36" s="124"/>
      <c r="CP36" s="124">
        <f>CP37+CP38+CP39</f>
        <v>4581.5373644478441</v>
      </c>
      <c r="CQ36" s="124"/>
      <c r="CR36" s="124"/>
      <c r="CS36" s="124">
        <f>CS37+CS38+CS39</f>
        <v>4746.4727095679664</v>
      </c>
      <c r="CT36" s="124"/>
      <c r="CU36" s="124"/>
      <c r="CV36" s="124">
        <f>CV37+CV38+CV39</f>
        <v>4917.3457271124134</v>
      </c>
      <c r="CW36" s="124"/>
      <c r="CX36" s="124"/>
      <c r="CY36" s="124">
        <f>CY37+CY38+CY39</f>
        <v>5094.3701732884601</v>
      </c>
      <c r="CZ36" s="124"/>
      <c r="DA36" s="124"/>
      <c r="DB36" s="124">
        <f>DB37+DB38+DB39</f>
        <v>5277.7674995268453</v>
      </c>
      <c r="DC36" s="124"/>
      <c r="DD36" s="124"/>
      <c r="DE36" s="124">
        <f>DE37+DE38+DE39</f>
        <v>5467.7671295098116</v>
      </c>
      <c r="DF36" s="124"/>
      <c r="DG36" s="124"/>
      <c r="DH36" s="124">
        <f>DH37+DH38+DH39</f>
        <v>5664.606746172165</v>
      </c>
      <c r="DI36" s="124"/>
      <c r="DJ36" s="124"/>
      <c r="DK36" s="124">
        <f>DK37+DK38+DK39</f>
        <v>5868.5325890343629</v>
      </c>
      <c r="DL36" s="124"/>
      <c r="DM36" s="124"/>
      <c r="DN36" s="124">
        <f>DN37+DN38+DN39</f>
        <v>6079.7997622396006</v>
      </c>
      <c r="DO36" s="124"/>
      <c r="DP36" s="124"/>
      <c r="DQ36" s="124">
        <f>DQ37+DQ38+DQ39</f>
        <v>6298.672553680226</v>
      </c>
      <c r="DR36" s="124"/>
      <c r="DS36" s="124"/>
      <c r="DT36" s="124">
        <f>DT37+DT38+DT39</f>
        <v>6525.4247656127145</v>
      </c>
      <c r="DU36" s="124"/>
      <c r="DV36" s="124"/>
      <c r="DW36" s="124">
        <f>DW37+DW38+DW39</f>
        <v>6760.3400571747725</v>
      </c>
      <c r="DX36" s="124"/>
      <c r="DY36" s="124"/>
      <c r="DZ36" s="124">
        <f>DZ37+DZ38+DZ39</f>
        <v>7003.7122992330642</v>
      </c>
      <c r="EA36" s="124"/>
      <c r="EB36" s="124"/>
      <c r="EC36" s="124">
        <f>EC37+EC38+EC39</f>
        <v>7255.8459420054551</v>
      </c>
      <c r="ED36" s="124"/>
      <c r="EE36" s="124"/>
      <c r="EF36" s="124">
        <f>EF37+EF38+EF39</f>
        <v>7517.0563959176516</v>
      </c>
      <c r="EG36" s="124"/>
      <c r="EH36" s="124"/>
    </row>
    <row r="37" spans="1:141">
      <c r="A37" s="125" t="s">
        <v>405</v>
      </c>
      <c r="B37" s="126" t="s">
        <v>406</v>
      </c>
      <c r="C37" s="122" t="s">
        <v>349</v>
      </c>
      <c r="D37" s="128">
        <f t="shared" ref="D37:D39" si="101">E37+BT37</f>
        <v>365087.69672221655</v>
      </c>
      <c r="E37" s="129">
        <f t="shared" ref="E37:E39" si="102">SUM(F37:BS37)</f>
        <v>239261.97775362738</v>
      </c>
      <c r="F37" s="124">
        <v>5132.2559621790297</v>
      </c>
      <c r="G37" s="124">
        <v>6109.0843400000003</v>
      </c>
      <c r="H37" s="124">
        <v>7384.9529700000003</v>
      </c>
      <c r="I37" s="124">
        <v>7255.02963</v>
      </c>
      <c r="J37" s="124"/>
      <c r="K37" s="124"/>
      <c r="L37" s="124">
        <v>7468.16</v>
      </c>
      <c r="M37" s="124"/>
      <c r="N37" s="124"/>
      <c r="O37" s="124">
        <f>L37*O$70</f>
        <v>7737.0137599999998</v>
      </c>
      <c r="P37" s="124"/>
      <c r="Q37" s="124"/>
      <c r="R37" s="124">
        <f t="shared" ref="R37:R39" si="103">O37*R$70</f>
        <v>8015.54625536</v>
      </c>
      <c r="S37" s="124"/>
      <c r="T37" s="124"/>
      <c r="U37" s="124">
        <f t="shared" ref="U37:U39" si="104">R37*U$70</f>
        <v>8304.10592055296</v>
      </c>
      <c r="V37" s="124"/>
      <c r="W37" s="124"/>
      <c r="X37" s="124">
        <f t="shared" ref="X37:X39" si="105">U37*X$70</f>
        <v>8603.0537336928664</v>
      </c>
      <c r="Y37" s="124"/>
      <c r="Z37" s="124"/>
      <c r="AA37" s="124">
        <f t="shared" ref="AA37:AA39" si="106">X37*AA$70</f>
        <v>8912.7636681058102</v>
      </c>
      <c r="AB37" s="124"/>
      <c r="AC37" s="124"/>
      <c r="AD37" s="124">
        <f t="shared" ref="AD37:AD39" si="107">AA37*AD$70</f>
        <v>9233.6231601576201</v>
      </c>
      <c r="AE37" s="124"/>
      <c r="AF37" s="124"/>
      <c r="AG37" s="124">
        <f t="shared" ref="AG37:AG39" si="108">AD37*AG$70</f>
        <v>9566.0335939232955</v>
      </c>
      <c r="AH37" s="124"/>
      <c r="AI37" s="124"/>
      <c r="AJ37" s="124">
        <f t="shared" ref="AJ37:AJ39" si="109">AG37*AJ$70</f>
        <v>9910.4108033045341</v>
      </c>
      <c r="AK37" s="124"/>
      <c r="AL37" s="124"/>
      <c r="AM37" s="124">
        <f t="shared" ref="AM37:AM39" si="110">AJ37*AM$70</f>
        <v>10267.185592223497</v>
      </c>
      <c r="AN37" s="124"/>
      <c r="AO37" s="124"/>
      <c r="AP37" s="124">
        <f t="shared" ref="AP37:AP39" si="111">AM37*AP$70</f>
        <v>10636.804273543543</v>
      </c>
      <c r="AQ37" s="124"/>
      <c r="AR37" s="124"/>
      <c r="AS37" s="124">
        <f t="shared" ref="AS37:AS39" si="112">AP37*AS$70</f>
        <v>11019.729227391112</v>
      </c>
      <c r="AT37" s="124"/>
      <c r="AU37" s="124"/>
      <c r="AV37" s="124">
        <f t="shared" ref="AV37:AV39" si="113">AS37*AV$70</f>
        <v>11416.439479577191</v>
      </c>
      <c r="AW37" s="124"/>
      <c r="AX37" s="124"/>
      <c r="AY37" s="124">
        <f t="shared" ref="AY37:AY39" si="114">AV37*AY$70</f>
        <v>11827.43130084197</v>
      </c>
      <c r="AZ37" s="124"/>
      <c r="BA37" s="124"/>
      <c r="BB37" s="124">
        <f t="shared" ref="BB37:BB39" si="115">AY37*BB$70</f>
        <v>12253.218827672281</v>
      </c>
      <c r="BC37" s="124"/>
      <c r="BD37" s="124"/>
      <c r="BE37" s="124">
        <f t="shared" ref="BE37:BE39" si="116">BB37*BE$70</f>
        <v>12694.334705468484</v>
      </c>
      <c r="BF37" s="124"/>
      <c r="BG37" s="124"/>
      <c r="BH37" s="124">
        <f t="shared" ref="BH37:BH39" si="117">BE37*BH$70</f>
        <v>13151.33075486535</v>
      </c>
      <c r="BI37" s="124"/>
      <c r="BJ37" s="124"/>
      <c r="BK37" s="124">
        <f t="shared" ref="BK37:BK39" si="118">BH37*BK$70</f>
        <v>13624.778662040504</v>
      </c>
      <c r="BL37" s="124"/>
      <c r="BM37" s="124"/>
      <c r="BN37" s="124">
        <f t="shared" ref="BN37:BN39" si="119">BK37*BN$70</f>
        <v>14115.270693873963</v>
      </c>
      <c r="BO37" s="124"/>
      <c r="BP37" s="124"/>
      <c r="BQ37" s="124">
        <f t="shared" ref="BQ37:BQ39" si="120">BN37*BQ$70</f>
        <v>14623.420438853425</v>
      </c>
      <c r="BR37" s="124"/>
      <c r="BS37" s="124"/>
      <c r="BT37" s="129">
        <f t="shared" ref="BT37:BT39" si="121">SUM(BU37:EH37)</f>
        <v>125825.71896858916</v>
      </c>
      <c r="BU37" s="124">
        <v>4296.5640638479399</v>
      </c>
      <c r="BV37" s="124">
        <v>4117.4239900000002</v>
      </c>
      <c r="BW37" s="124">
        <v>3913.58916</v>
      </c>
      <c r="BX37" s="124">
        <v>3811.4632499999998</v>
      </c>
      <c r="BY37" s="124"/>
      <c r="BZ37" s="124"/>
      <c r="CA37" s="124">
        <v>3838.95</v>
      </c>
      <c r="CB37" s="124"/>
      <c r="CC37" s="124"/>
      <c r="CD37" s="124">
        <f>CA37*CD$70</f>
        <v>3977.1522</v>
      </c>
      <c r="CE37" s="124"/>
      <c r="CF37" s="124"/>
      <c r="CG37" s="124">
        <f t="shared" ref="CG37:CG39" si="122">CD37*CG$70</f>
        <v>4120.3296792000001</v>
      </c>
      <c r="CH37" s="124"/>
      <c r="CI37" s="124"/>
      <c r="CJ37" s="124">
        <f t="shared" ref="CJ37:CJ39" si="123">CG37*CJ$70</f>
        <v>4268.6615476512006</v>
      </c>
      <c r="CK37" s="124"/>
      <c r="CL37" s="124"/>
      <c r="CM37" s="124">
        <f t="shared" ref="CM37:CM39" si="124">CJ37*CM$70</f>
        <v>4422.3333633666443</v>
      </c>
      <c r="CN37" s="124"/>
      <c r="CO37" s="124"/>
      <c r="CP37" s="124">
        <f t="shared" ref="CP37:CP39" si="125">CM37*CP$70</f>
        <v>4581.5373644478441</v>
      </c>
      <c r="CQ37" s="124"/>
      <c r="CR37" s="124"/>
      <c r="CS37" s="124">
        <f t="shared" ref="CS37:CS39" si="126">CP37*CS$70</f>
        <v>4746.4727095679664</v>
      </c>
      <c r="CT37" s="124"/>
      <c r="CU37" s="124"/>
      <c r="CV37" s="124">
        <f t="shared" ref="CV37:CV39" si="127">CS37*CV$70</f>
        <v>4917.3457271124134</v>
      </c>
      <c r="CW37" s="124"/>
      <c r="CX37" s="124"/>
      <c r="CY37" s="124">
        <f t="shared" ref="CY37:CY39" si="128">CV37*CY$70</f>
        <v>5094.3701732884601</v>
      </c>
      <c r="CZ37" s="124"/>
      <c r="DA37" s="124"/>
      <c r="DB37" s="124">
        <f t="shared" ref="DB37:DB39" si="129">CY37*DB$70</f>
        <v>5277.7674995268453</v>
      </c>
      <c r="DC37" s="124"/>
      <c r="DD37" s="124"/>
      <c r="DE37" s="124">
        <f t="shared" ref="DE37:DE39" si="130">DB37*DE$70</f>
        <v>5467.7671295098116</v>
      </c>
      <c r="DF37" s="124"/>
      <c r="DG37" s="124"/>
      <c r="DH37" s="124">
        <f t="shared" ref="DH37:DH39" si="131">DE37*DH$70</f>
        <v>5664.606746172165</v>
      </c>
      <c r="DI37" s="124"/>
      <c r="DJ37" s="124"/>
      <c r="DK37" s="124">
        <f t="shared" ref="DK37:DK39" si="132">DH37*DK$70</f>
        <v>5868.5325890343629</v>
      </c>
      <c r="DL37" s="124"/>
      <c r="DM37" s="124"/>
      <c r="DN37" s="124">
        <f t="shared" ref="DN37:DN39" si="133">DK37*DN$70</f>
        <v>6079.7997622396006</v>
      </c>
      <c r="DO37" s="124"/>
      <c r="DP37" s="124"/>
      <c r="DQ37" s="124">
        <f t="shared" ref="DQ37:DQ39" si="134">DN37*DQ$70</f>
        <v>6298.672553680226</v>
      </c>
      <c r="DR37" s="124"/>
      <c r="DS37" s="124"/>
      <c r="DT37" s="124">
        <f t="shared" ref="DT37:DT39" si="135">DQ37*DT$70</f>
        <v>6525.4247656127145</v>
      </c>
      <c r="DU37" s="124"/>
      <c r="DV37" s="124"/>
      <c r="DW37" s="124">
        <f t="shared" ref="DW37:DW39" si="136">DT37*DW$70</f>
        <v>6760.3400571747725</v>
      </c>
      <c r="DX37" s="124"/>
      <c r="DY37" s="124"/>
      <c r="DZ37" s="124">
        <f t="shared" ref="DZ37:DZ39" si="137">DW37*DZ$70</f>
        <v>7003.7122992330642</v>
      </c>
      <c r="EA37" s="124"/>
      <c r="EB37" s="124"/>
      <c r="EC37" s="124">
        <f t="shared" ref="EC37:EC39" si="138">DZ37*EC$70</f>
        <v>7255.8459420054551</v>
      </c>
      <c r="ED37" s="124"/>
      <c r="EE37" s="124"/>
      <c r="EF37" s="124">
        <f t="shared" ref="EF37:EF39" si="139">EC37*EF$70</f>
        <v>7517.0563959176516</v>
      </c>
      <c r="EG37" s="124"/>
      <c r="EH37" s="124"/>
    </row>
    <row r="38" spans="1:141">
      <c r="A38" s="125" t="s">
        <v>407</v>
      </c>
      <c r="B38" s="126" t="s">
        <v>408</v>
      </c>
      <c r="C38" s="122" t="s">
        <v>349</v>
      </c>
      <c r="D38" s="128">
        <f t="shared" si="101"/>
        <v>0</v>
      </c>
      <c r="E38" s="129">
        <f t="shared" si="102"/>
        <v>0</v>
      </c>
      <c r="F38" s="124">
        <v>0</v>
      </c>
      <c r="G38" s="124">
        <v>0</v>
      </c>
      <c r="H38" s="124">
        <v>0</v>
      </c>
      <c r="I38" s="124">
        <v>0</v>
      </c>
      <c r="J38" s="124"/>
      <c r="K38" s="124"/>
      <c r="L38" s="124">
        <v>0</v>
      </c>
      <c r="M38" s="124"/>
      <c r="N38" s="124"/>
      <c r="O38" s="124">
        <f>L38*O$70</f>
        <v>0</v>
      </c>
      <c r="P38" s="124"/>
      <c r="Q38" s="124"/>
      <c r="R38" s="124">
        <f t="shared" si="103"/>
        <v>0</v>
      </c>
      <c r="S38" s="124"/>
      <c r="T38" s="124"/>
      <c r="U38" s="124">
        <f t="shared" si="104"/>
        <v>0</v>
      </c>
      <c r="V38" s="124"/>
      <c r="W38" s="124"/>
      <c r="X38" s="124">
        <f t="shared" si="105"/>
        <v>0</v>
      </c>
      <c r="Y38" s="124"/>
      <c r="Z38" s="124"/>
      <c r="AA38" s="124">
        <f t="shared" si="106"/>
        <v>0</v>
      </c>
      <c r="AB38" s="124"/>
      <c r="AC38" s="124"/>
      <c r="AD38" s="124">
        <f t="shared" si="107"/>
        <v>0</v>
      </c>
      <c r="AE38" s="124"/>
      <c r="AF38" s="124"/>
      <c r="AG38" s="124">
        <f t="shared" si="108"/>
        <v>0</v>
      </c>
      <c r="AH38" s="124"/>
      <c r="AI38" s="124"/>
      <c r="AJ38" s="124">
        <f t="shared" si="109"/>
        <v>0</v>
      </c>
      <c r="AK38" s="124"/>
      <c r="AL38" s="124"/>
      <c r="AM38" s="124">
        <f t="shared" si="110"/>
        <v>0</v>
      </c>
      <c r="AN38" s="124"/>
      <c r="AO38" s="124"/>
      <c r="AP38" s="124">
        <f t="shared" si="111"/>
        <v>0</v>
      </c>
      <c r="AQ38" s="124"/>
      <c r="AR38" s="124"/>
      <c r="AS38" s="124">
        <f t="shared" si="112"/>
        <v>0</v>
      </c>
      <c r="AT38" s="124"/>
      <c r="AU38" s="124"/>
      <c r="AV38" s="124">
        <f t="shared" si="113"/>
        <v>0</v>
      </c>
      <c r="AW38" s="124"/>
      <c r="AX38" s="124"/>
      <c r="AY38" s="124">
        <f t="shared" si="114"/>
        <v>0</v>
      </c>
      <c r="AZ38" s="124"/>
      <c r="BA38" s="124"/>
      <c r="BB38" s="124">
        <f t="shared" si="115"/>
        <v>0</v>
      </c>
      <c r="BC38" s="124"/>
      <c r="BD38" s="124"/>
      <c r="BE38" s="124">
        <f t="shared" si="116"/>
        <v>0</v>
      </c>
      <c r="BF38" s="124"/>
      <c r="BG38" s="124"/>
      <c r="BH38" s="124">
        <f t="shared" si="117"/>
        <v>0</v>
      </c>
      <c r="BI38" s="124"/>
      <c r="BJ38" s="124"/>
      <c r="BK38" s="124">
        <f t="shared" si="118"/>
        <v>0</v>
      </c>
      <c r="BL38" s="124"/>
      <c r="BM38" s="124"/>
      <c r="BN38" s="124">
        <f t="shared" si="119"/>
        <v>0</v>
      </c>
      <c r="BO38" s="124"/>
      <c r="BP38" s="124"/>
      <c r="BQ38" s="124">
        <f t="shared" si="120"/>
        <v>0</v>
      </c>
      <c r="BR38" s="124"/>
      <c r="BS38" s="124"/>
      <c r="BT38" s="129">
        <f t="shared" si="121"/>
        <v>0</v>
      </c>
      <c r="BU38" s="124">
        <v>0</v>
      </c>
      <c r="BV38" s="124">
        <v>0</v>
      </c>
      <c r="BW38" s="124">
        <v>0</v>
      </c>
      <c r="BX38" s="124">
        <v>0</v>
      </c>
      <c r="BY38" s="124"/>
      <c r="BZ38" s="124"/>
      <c r="CA38" s="124">
        <v>0</v>
      </c>
      <c r="CB38" s="124"/>
      <c r="CC38" s="124"/>
      <c r="CD38" s="124">
        <f>CA38*CD$70</f>
        <v>0</v>
      </c>
      <c r="CE38" s="124"/>
      <c r="CF38" s="124"/>
      <c r="CG38" s="124">
        <f t="shared" si="122"/>
        <v>0</v>
      </c>
      <c r="CH38" s="124"/>
      <c r="CI38" s="124"/>
      <c r="CJ38" s="124">
        <f t="shared" si="123"/>
        <v>0</v>
      </c>
      <c r="CK38" s="124"/>
      <c r="CL38" s="124"/>
      <c r="CM38" s="124">
        <f t="shared" si="124"/>
        <v>0</v>
      </c>
      <c r="CN38" s="124"/>
      <c r="CO38" s="124"/>
      <c r="CP38" s="124">
        <f t="shared" si="125"/>
        <v>0</v>
      </c>
      <c r="CQ38" s="124"/>
      <c r="CR38" s="124"/>
      <c r="CS38" s="124">
        <f t="shared" si="126"/>
        <v>0</v>
      </c>
      <c r="CT38" s="124"/>
      <c r="CU38" s="124"/>
      <c r="CV38" s="124">
        <f t="shared" si="127"/>
        <v>0</v>
      </c>
      <c r="CW38" s="124"/>
      <c r="CX38" s="124"/>
      <c r="CY38" s="124">
        <f t="shared" si="128"/>
        <v>0</v>
      </c>
      <c r="CZ38" s="124"/>
      <c r="DA38" s="124"/>
      <c r="DB38" s="124">
        <f t="shared" si="129"/>
        <v>0</v>
      </c>
      <c r="DC38" s="124"/>
      <c r="DD38" s="124"/>
      <c r="DE38" s="124">
        <f t="shared" si="130"/>
        <v>0</v>
      </c>
      <c r="DF38" s="124"/>
      <c r="DG38" s="124"/>
      <c r="DH38" s="124">
        <f t="shared" si="131"/>
        <v>0</v>
      </c>
      <c r="DI38" s="124"/>
      <c r="DJ38" s="124"/>
      <c r="DK38" s="124">
        <f t="shared" si="132"/>
        <v>0</v>
      </c>
      <c r="DL38" s="124"/>
      <c r="DM38" s="124"/>
      <c r="DN38" s="124">
        <f t="shared" si="133"/>
        <v>0</v>
      </c>
      <c r="DO38" s="124"/>
      <c r="DP38" s="124"/>
      <c r="DQ38" s="124">
        <f t="shared" si="134"/>
        <v>0</v>
      </c>
      <c r="DR38" s="124"/>
      <c r="DS38" s="124"/>
      <c r="DT38" s="124">
        <f t="shared" si="135"/>
        <v>0</v>
      </c>
      <c r="DU38" s="124"/>
      <c r="DV38" s="124"/>
      <c r="DW38" s="124">
        <f t="shared" si="136"/>
        <v>0</v>
      </c>
      <c r="DX38" s="124"/>
      <c r="DY38" s="124"/>
      <c r="DZ38" s="124">
        <f t="shared" si="137"/>
        <v>0</v>
      </c>
      <c r="EA38" s="124"/>
      <c r="EB38" s="124"/>
      <c r="EC38" s="124">
        <f t="shared" si="138"/>
        <v>0</v>
      </c>
      <c r="ED38" s="124"/>
      <c r="EE38" s="124"/>
      <c r="EF38" s="124">
        <f t="shared" si="139"/>
        <v>0</v>
      </c>
      <c r="EG38" s="124"/>
      <c r="EH38" s="124"/>
    </row>
    <row r="39" spans="1:141">
      <c r="A39" s="125" t="s">
        <v>409</v>
      </c>
      <c r="B39" s="126" t="s">
        <v>410</v>
      </c>
      <c r="C39" s="122" t="s">
        <v>349</v>
      </c>
      <c r="D39" s="128">
        <f t="shared" si="101"/>
        <v>7667.7373400000006</v>
      </c>
      <c r="E39" s="129">
        <f t="shared" si="102"/>
        <v>4986.3871500000005</v>
      </c>
      <c r="F39" s="124">
        <v>0</v>
      </c>
      <c r="G39" s="124">
        <v>380.47924</v>
      </c>
      <c r="H39" s="124">
        <v>1969.8246899999999</v>
      </c>
      <c r="I39" s="124">
        <v>1948.2032200000001</v>
      </c>
      <c r="J39" s="124"/>
      <c r="K39" s="124"/>
      <c r="L39" s="124">
        <v>687.88</v>
      </c>
      <c r="M39" s="124"/>
      <c r="N39" s="124"/>
      <c r="O39" s="124">
        <v>0</v>
      </c>
      <c r="P39" s="124"/>
      <c r="Q39" s="124"/>
      <c r="R39" s="124">
        <f t="shared" si="103"/>
        <v>0</v>
      </c>
      <c r="S39" s="124"/>
      <c r="T39" s="124"/>
      <c r="U39" s="124">
        <f t="shared" si="104"/>
        <v>0</v>
      </c>
      <c r="V39" s="124"/>
      <c r="W39" s="124"/>
      <c r="X39" s="124">
        <f t="shared" si="105"/>
        <v>0</v>
      </c>
      <c r="Y39" s="124"/>
      <c r="Z39" s="124"/>
      <c r="AA39" s="124">
        <f t="shared" si="106"/>
        <v>0</v>
      </c>
      <c r="AB39" s="124"/>
      <c r="AC39" s="124"/>
      <c r="AD39" s="124">
        <f t="shared" si="107"/>
        <v>0</v>
      </c>
      <c r="AE39" s="124"/>
      <c r="AF39" s="124"/>
      <c r="AG39" s="124">
        <f t="shared" si="108"/>
        <v>0</v>
      </c>
      <c r="AH39" s="124"/>
      <c r="AI39" s="124"/>
      <c r="AJ39" s="124">
        <f t="shared" si="109"/>
        <v>0</v>
      </c>
      <c r="AK39" s="124"/>
      <c r="AL39" s="124"/>
      <c r="AM39" s="124">
        <f t="shared" si="110"/>
        <v>0</v>
      </c>
      <c r="AN39" s="124"/>
      <c r="AO39" s="124"/>
      <c r="AP39" s="124">
        <f t="shared" si="111"/>
        <v>0</v>
      </c>
      <c r="AQ39" s="124"/>
      <c r="AR39" s="124"/>
      <c r="AS39" s="124">
        <f t="shared" si="112"/>
        <v>0</v>
      </c>
      <c r="AT39" s="124"/>
      <c r="AU39" s="124"/>
      <c r="AV39" s="124">
        <f t="shared" si="113"/>
        <v>0</v>
      </c>
      <c r="AW39" s="124"/>
      <c r="AX39" s="124"/>
      <c r="AY39" s="124">
        <f t="shared" si="114"/>
        <v>0</v>
      </c>
      <c r="AZ39" s="124"/>
      <c r="BA39" s="124"/>
      <c r="BB39" s="124">
        <f t="shared" si="115"/>
        <v>0</v>
      </c>
      <c r="BC39" s="124"/>
      <c r="BD39" s="124"/>
      <c r="BE39" s="124">
        <f t="shared" si="116"/>
        <v>0</v>
      </c>
      <c r="BF39" s="124"/>
      <c r="BG39" s="124"/>
      <c r="BH39" s="124">
        <f t="shared" si="117"/>
        <v>0</v>
      </c>
      <c r="BI39" s="124"/>
      <c r="BJ39" s="124"/>
      <c r="BK39" s="124">
        <f t="shared" si="118"/>
        <v>0</v>
      </c>
      <c r="BL39" s="124"/>
      <c r="BM39" s="124"/>
      <c r="BN39" s="124">
        <f t="shared" si="119"/>
        <v>0</v>
      </c>
      <c r="BO39" s="124"/>
      <c r="BP39" s="124"/>
      <c r="BQ39" s="124">
        <f t="shared" si="120"/>
        <v>0</v>
      </c>
      <c r="BR39" s="124"/>
      <c r="BS39" s="124"/>
      <c r="BT39" s="129">
        <f t="shared" si="121"/>
        <v>2681.3501900000001</v>
      </c>
      <c r="BU39" s="124">
        <v>0</v>
      </c>
      <c r="BV39" s="124">
        <v>0</v>
      </c>
      <c r="BW39" s="124">
        <v>1097.9170200000001</v>
      </c>
      <c r="BX39" s="124">
        <v>1213.3431700000001</v>
      </c>
      <c r="BY39" s="124"/>
      <c r="BZ39" s="124"/>
      <c r="CA39" s="124">
        <v>370.09</v>
      </c>
      <c r="CB39" s="124"/>
      <c r="CC39" s="124"/>
      <c r="CD39" s="124">
        <v>0</v>
      </c>
      <c r="CE39" s="124"/>
      <c r="CF39" s="124"/>
      <c r="CG39" s="124">
        <f t="shared" si="122"/>
        <v>0</v>
      </c>
      <c r="CH39" s="124"/>
      <c r="CI39" s="124"/>
      <c r="CJ39" s="124">
        <f t="shared" si="123"/>
        <v>0</v>
      </c>
      <c r="CK39" s="124"/>
      <c r="CL39" s="124"/>
      <c r="CM39" s="124">
        <f t="shared" si="124"/>
        <v>0</v>
      </c>
      <c r="CN39" s="124"/>
      <c r="CO39" s="124"/>
      <c r="CP39" s="124">
        <f t="shared" si="125"/>
        <v>0</v>
      </c>
      <c r="CQ39" s="124"/>
      <c r="CR39" s="124"/>
      <c r="CS39" s="124">
        <f t="shared" si="126"/>
        <v>0</v>
      </c>
      <c r="CT39" s="124"/>
      <c r="CU39" s="124"/>
      <c r="CV39" s="124">
        <f t="shared" si="127"/>
        <v>0</v>
      </c>
      <c r="CW39" s="124"/>
      <c r="CX39" s="124"/>
      <c r="CY39" s="124">
        <f t="shared" si="128"/>
        <v>0</v>
      </c>
      <c r="CZ39" s="124"/>
      <c r="DA39" s="124"/>
      <c r="DB39" s="124">
        <f t="shared" si="129"/>
        <v>0</v>
      </c>
      <c r="DC39" s="124"/>
      <c r="DD39" s="124"/>
      <c r="DE39" s="124">
        <f t="shared" si="130"/>
        <v>0</v>
      </c>
      <c r="DF39" s="124"/>
      <c r="DG39" s="124"/>
      <c r="DH39" s="124">
        <f t="shared" si="131"/>
        <v>0</v>
      </c>
      <c r="DI39" s="124"/>
      <c r="DJ39" s="124"/>
      <c r="DK39" s="124">
        <f t="shared" si="132"/>
        <v>0</v>
      </c>
      <c r="DL39" s="124"/>
      <c r="DM39" s="124"/>
      <c r="DN39" s="124">
        <f t="shared" si="133"/>
        <v>0</v>
      </c>
      <c r="DO39" s="124"/>
      <c r="DP39" s="124"/>
      <c r="DQ39" s="124">
        <f t="shared" si="134"/>
        <v>0</v>
      </c>
      <c r="DR39" s="124"/>
      <c r="DS39" s="124"/>
      <c r="DT39" s="124">
        <f t="shared" si="135"/>
        <v>0</v>
      </c>
      <c r="DU39" s="124"/>
      <c r="DV39" s="124"/>
      <c r="DW39" s="124">
        <f t="shared" si="136"/>
        <v>0</v>
      </c>
      <c r="DX39" s="124"/>
      <c r="DY39" s="124"/>
      <c r="DZ39" s="124">
        <f t="shared" si="137"/>
        <v>0</v>
      </c>
      <c r="EA39" s="124"/>
      <c r="EB39" s="124"/>
      <c r="EC39" s="124">
        <f t="shared" si="138"/>
        <v>0</v>
      </c>
      <c r="ED39" s="124"/>
      <c r="EE39" s="124"/>
      <c r="EF39" s="124">
        <f t="shared" si="139"/>
        <v>0</v>
      </c>
      <c r="EG39" s="124"/>
      <c r="EH39" s="124"/>
    </row>
    <row r="40" spans="1:141" ht="30">
      <c r="A40" s="125" t="s">
        <v>411</v>
      </c>
      <c r="B40" s="126" t="s">
        <v>412</v>
      </c>
      <c r="C40" s="122" t="s">
        <v>349</v>
      </c>
      <c r="D40" s="128">
        <f t="shared" ref="D40:I40" si="140">D41</f>
        <v>260253.47300846557</v>
      </c>
      <c r="E40" s="123">
        <f t="shared" si="140"/>
        <v>153036.1298810218</v>
      </c>
      <c r="F40" s="124">
        <f t="shared" si="140"/>
        <v>0</v>
      </c>
      <c r="G40" s="124">
        <f t="shared" si="140"/>
        <v>6186.8548899999996</v>
      </c>
      <c r="H40" s="124">
        <f t="shared" si="140"/>
        <v>13406.401250000001</v>
      </c>
      <c r="I40" s="124">
        <f t="shared" si="140"/>
        <v>27285.98602</v>
      </c>
      <c r="J40" s="124"/>
      <c r="K40" s="124"/>
      <c r="L40" s="124">
        <f>L41</f>
        <v>3677.8018637999999</v>
      </c>
      <c r="M40" s="124"/>
      <c r="N40" s="124"/>
      <c r="O40" s="124">
        <f>O41</f>
        <v>3850.5778775666599</v>
      </c>
      <c r="P40" s="124"/>
      <c r="Q40" s="124"/>
      <c r="R40" s="124">
        <f>R41</f>
        <v>3989.19868115906</v>
      </c>
      <c r="S40" s="124"/>
      <c r="T40" s="124"/>
      <c r="U40" s="124">
        <f>U41</f>
        <v>4132.8098336807861</v>
      </c>
      <c r="V40" s="124"/>
      <c r="W40" s="124"/>
      <c r="X40" s="124">
        <f>X41</f>
        <v>4281.5909876932947</v>
      </c>
      <c r="Y40" s="124"/>
      <c r="Z40" s="124"/>
      <c r="AA40" s="124">
        <f>AA41</f>
        <v>4435.7282632502538</v>
      </c>
      <c r="AB40" s="124"/>
      <c r="AC40" s="124"/>
      <c r="AD40" s="124">
        <f>AD41</f>
        <v>4595.4144807272633</v>
      </c>
      <c r="AE40" s="124"/>
      <c r="AF40" s="124"/>
      <c r="AG40" s="124">
        <f>AG41</f>
        <v>4760.8494020334447</v>
      </c>
      <c r="AH40" s="124"/>
      <c r="AI40" s="124"/>
      <c r="AJ40" s="124">
        <f>AJ41</f>
        <v>4932.2399805066489</v>
      </c>
      <c r="AK40" s="124"/>
      <c r="AL40" s="124"/>
      <c r="AM40" s="124">
        <f>AM41</f>
        <v>5109.8006198048888</v>
      </c>
      <c r="AN40" s="124"/>
      <c r="AO40" s="124"/>
      <c r="AP40" s="124">
        <f>AP41</f>
        <v>5293.7534421178652</v>
      </c>
      <c r="AQ40" s="124"/>
      <c r="AR40" s="124"/>
      <c r="AS40" s="124">
        <f>AS41</f>
        <v>5484.3285660341089</v>
      </c>
      <c r="AT40" s="124"/>
      <c r="AU40" s="124"/>
      <c r="AV40" s="124">
        <f>AV41</f>
        <v>5681.764394411337</v>
      </c>
      <c r="AW40" s="124"/>
      <c r="AX40" s="124"/>
      <c r="AY40" s="124">
        <f>AY41</f>
        <v>5886.3079126101456</v>
      </c>
      <c r="AZ40" s="124"/>
      <c r="BA40" s="124"/>
      <c r="BB40" s="124">
        <f>BB41</f>
        <v>6098.2149974641106</v>
      </c>
      <c r="BC40" s="124"/>
      <c r="BD40" s="124"/>
      <c r="BE40" s="124">
        <f>BE41</f>
        <v>6317.7507373728185</v>
      </c>
      <c r="BF40" s="124"/>
      <c r="BG40" s="124"/>
      <c r="BH40" s="124">
        <f>BH41</f>
        <v>6545.1897639182398</v>
      </c>
      <c r="BI40" s="124"/>
      <c r="BJ40" s="124"/>
      <c r="BK40" s="124">
        <f>BK41</f>
        <v>6780.8165954192964</v>
      </c>
      <c r="BL40" s="124"/>
      <c r="BM40" s="124"/>
      <c r="BN40" s="124">
        <f>BN41</f>
        <v>7024.9259928543916</v>
      </c>
      <c r="BO40" s="124"/>
      <c r="BP40" s="124"/>
      <c r="BQ40" s="124">
        <f t="shared" ref="BQ40:BX40" si="141">BQ41</f>
        <v>7277.8233285971501</v>
      </c>
      <c r="BR40" s="124"/>
      <c r="BS40" s="124"/>
      <c r="BT40" s="160">
        <f t="shared" si="141"/>
        <v>107217.34312744378</v>
      </c>
      <c r="BU40" s="124">
        <f t="shared" si="141"/>
        <v>0</v>
      </c>
      <c r="BV40" s="124">
        <f t="shared" si="141"/>
        <v>3903.90013</v>
      </c>
      <c r="BW40" s="124">
        <f t="shared" si="141"/>
        <v>9470.6536899999992</v>
      </c>
      <c r="BX40" s="124">
        <f t="shared" si="141"/>
        <v>19921.402699999999</v>
      </c>
      <c r="BY40" s="124"/>
      <c r="BZ40" s="124"/>
      <c r="CA40" s="124">
        <f>CA41</f>
        <v>2582.744056</v>
      </c>
      <c r="CB40" s="124"/>
      <c r="CC40" s="124"/>
      <c r="CD40" s="124">
        <f>CD41</f>
        <v>2680.4981379999999</v>
      </c>
      <c r="CE40" s="124"/>
      <c r="CF40" s="124"/>
      <c r="CG40" s="124">
        <f>CG41</f>
        <v>2776.9960709679999</v>
      </c>
      <c r="CH40" s="124"/>
      <c r="CI40" s="124"/>
      <c r="CJ40" s="124">
        <f>CJ41</f>
        <v>2876.967929522848</v>
      </c>
      <c r="CK40" s="124"/>
      <c r="CL40" s="124"/>
      <c r="CM40" s="124">
        <f>CM41</f>
        <v>2980.5387749856704</v>
      </c>
      <c r="CN40" s="124"/>
      <c r="CO40" s="124"/>
      <c r="CP40" s="124">
        <f>CP41</f>
        <v>3087.8381708851548</v>
      </c>
      <c r="CQ40" s="124"/>
      <c r="CR40" s="124"/>
      <c r="CS40" s="124">
        <f>CS41</f>
        <v>3199.0003450370205</v>
      </c>
      <c r="CT40" s="124"/>
      <c r="CU40" s="124"/>
      <c r="CV40" s="124">
        <f>CV41</f>
        <v>3314.1643574583532</v>
      </c>
      <c r="CW40" s="124"/>
      <c r="CX40" s="124"/>
      <c r="CY40" s="124">
        <f>CY41</f>
        <v>3433.4742743268539</v>
      </c>
      <c r="CZ40" s="124"/>
      <c r="DA40" s="124"/>
      <c r="DB40" s="124">
        <f>DB41</f>
        <v>3557.0793482026206</v>
      </c>
      <c r="DC40" s="124"/>
      <c r="DD40" s="124"/>
      <c r="DE40" s="124">
        <f>DE41</f>
        <v>3685.1342047379153</v>
      </c>
      <c r="DF40" s="124"/>
      <c r="DG40" s="124"/>
      <c r="DH40" s="124">
        <f>DH41</f>
        <v>3817.7990361084803</v>
      </c>
      <c r="DI40" s="124"/>
      <c r="DJ40" s="124"/>
      <c r="DK40" s="124">
        <f>DK41</f>
        <v>3955.2398014083856</v>
      </c>
      <c r="DL40" s="124"/>
      <c r="DM40" s="124"/>
      <c r="DN40" s="124">
        <f>DN41</f>
        <v>4097.628434259088</v>
      </c>
      <c r="DO40" s="124"/>
      <c r="DP40" s="124"/>
      <c r="DQ40" s="124">
        <f>DQ41</f>
        <v>4245.1430578924155</v>
      </c>
      <c r="DR40" s="124"/>
      <c r="DS40" s="124"/>
      <c r="DT40" s="124">
        <f>DT41</f>
        <v>4397.9682079765425</v>
      </c>
      <c r="DU40" s="124"/>
      <c r="DV40" s="124"/>
      <c r="DW40" s="124">
        <f>DW41</f>
        <v>4556.2950634636982</v>
      </c>
      <c r="DX40" s="124"/>
      <c r="DY40" s="124"/>
      <c r="DZ40" s="124">
        <f>DZ41</f>
        <v>4720.3216857483912</v>
      </c>
      <c r="EA40" s="124"/>
      <c r="EB40" s="124"/>
      <c r="EC40" s="124">
        <f>EC41</f>
        <v>4890.2532664353339</v>
      </c>
      <c r="ED40" s="124"/>
      <c r="EE40" s="124"/>
      <c r="EF40" s="124">
        <f>EF41</f>
        <v>5066.3023840270062</v>
      </c>
      <c r="EG40" s="124"/>
      <c r="EH40" s="124"/>
    </row>
    <row r="41" spans="1:141">
      <c r="A41" s="125" t="s">
        <v>413</v>
      </c>
      <c r="B41" s="126" t="s">
        <v>414</v>
      </c>
      <c r="C41" s="122" t="s">
        <v>349</v>
      </c>
      <c r="D41" s="128">
        <f>E41+BT41</f>
        <v>260253.47300846557</v>
      </c>
      <c r="E41" s="129">
        <f>SUM(F41:BS41)</f>
        <v>153036.1298810218</v>
      </c>
      <c r="F41" s="124">
        <v>0</v>
      </c>
      <c r="G41" s="124">
        <v>6186.8548899999996</v>
      </c>
      <c r="H41" s="124">
        <v>13406.401250000001</v>
      </c>
      <c r="I41" s="124">
        <v>27285.98602</v>
      </c>
      <c r="J41" s="124"/>
      <c r="K41" s="124"/>
      <c r="L41" s="124">
        <v>3677.8018637999999</v>
      </c>
      <c r="M41" s="124"/>
      <c r="N41" s="124"/>
      <c r="O41" s="124">
        <v>3850.5778775666599</v>
      </c>
      <c r="P41" s="124"/>
      <c r="Q41" s="124"/>
      <c r="R41" s="124">
        <f>O41*R$70</f>
        <v>3989.19868115906</v>
      </c>
      <c r="S41" s="124"/>
      <c r="T41" s="124"/>
      <c r="U41" s="124">
        <f>R41*U$70</f>
        <v>4132.8098336807861</v>
      </c>
      <c r="V41" s="124"/>
      <c r="W41" s="124"/>
      <c r="X41" s="124">
        <f>U41*X$70</f>
        <v>4281.5909876932947</v>
      </c>
      <c r="Y41" s="124"/>
      <c r="Z41" s="124"/>
      <c r="AA41" s="124">
        <f>X41*AA$70</f>
        <v>4435.7282632502538</v>
      </c>
      <c r="AB41" s="124"/>
      <c r="AC41" s="124"/>
      <c r="AD41" s="124">
        <f>AA41*AD$70</f>
        <v>4595.4144807272633</v>
      </c>
      <c r="AE41" s="124"/>
      <c r="AF41" s="124"/>
      <c r="AG41" s="124">
        <f>AD41*AG$70</f>
        <v>4760.8494020334447</v>
      </c>
      <c r="AH41" s="124"/>
      <c r="AI41" s="124"/>
      <c r="AJ41" s="124">
        <f>AG41*AJ$70</f>
        <v>4932.2399805066489</v>
      </c>
      <c r="AK41" s="124"/>
      <c r="AL41" s="124"/>
      <c r="AM41" s="124">
        <f>AJ41*AM$70</f>
        <v>5109.8006198048888</v>
      </c>
      <c r="AN41" s="124"/>
      <c r="AO41" s="124"/>
      <c r="AP41" s="124">
        <f>AM41*AP$70</f>
        <v>5293.7534421178652</v>
      </c>
      <c r="AQ41" s="124"/>
      <c r="AR41" s="124"/>
      <c r="AS41" s="124">
        <f>AP41*AS$70</f>
        <v>5484.3285660341089</v>
      </c>
      <c r="AT41" s="124"/>
      <c r="AU41" s="124"/>
      <c r="AV41" s="124">
        <f>AS41*AV$70</f>
        <v>5681.764394411337</v>
      </c>
      <c r="AW41" s="124"/>
      <c r="AX41" s="124"/>
      <c r="AY41" s="124">
        <f>AV41*AY$70</f>
        <v>5886.3079126101456</v>
      </c>
      <c r="AZ41" s="124"/>
      <c r="BA41" s="124"/>
      <c r="BB41" s="124">
        <f>AY41*BB$70</f>
        <v>6098.2149974641106</v>
      </c>
      <c r="BC41" s="124"/>
      <c r="BD41" s="124"/>
      <c r="BE41" s="124">
        <f>BB41*BE$70</f>
        <v>6317.7507373728185</v>
      </c>
      <c r="BF41" s="124"/>
      <c r="BG41" s="124"/>
      <c r="BH41" s="124">
        <f>BE41*BH$70</f>
        <v>6545.1897639182398</v>
      </c>
      <c r="BI41" s="124"/>
      <c r="BJ41" s="124"/>
      <c r="BK41" s="124">
        <f>BH41*BK$70</f>
        <v>6780.8165954192964</v>
      </c>
      <c r="BL41" s="124"/>
      <c r="BM41" s="124"/>
      <c r="BN41" s="124">
        <f>BK41*BN$70</f>
        <v>7024.9259928543916</v>
      </c>
      <c r="BO41" s="124"/>
      <c r="BP41" s="124"/>
      <c r="BQ41" s="124">
        <f>BN41*BQ$70</f>
        <v>7277.8233285971501</v>
      </c>
      <c r="BR41" s="124"/>
      <c r="BS41" s="124"/>
      <c r="BT41" s="129">
        <f>SUM(BU41:EH41)</f>
        <v>107217.34312744378</v>
      </c>
      <c r="BU41" s="124">
        <v>0</v>
      </c>
      <c r="BV41" s="124">
        <v>3903.90013</v>
      </c>
      <c r="BW41" s="124">
        <v>9470.6536899999992</v>
      </c>
      <c r="BX41" s="124">
        <v>19921.402699999999</v>
      </c>
      <c r="BY41" s="124"/>
      <c r="BZ41" s="124"/>
      <c r="CA41" s="124">
        <v>2582.744056</v>
      </c>
      <c r="CB41" s="124"/>
      <c r="CC41" s="124"/>
      <c r="CD41" s="124">
        <v>2680.4981379999999</v>
      </c>
      <c r="CE41" s="124"/>
      <c r="CF41" s="124"/>
      <c r="CG41" s="124">
        <f>CD41*CG$70</f>
        <v>2776.9960709679999</v>
      </c>
      <c r="CH41" s="124"/>
      <c r="CI41" s="124"/>
      <c r="CJ41" s="124">
        <f>CG41*CJ$70</f>
        <v>2876.967929522848</v>
      </c>
      <c r="CK41" s="124"/>
      <c r="CL41" s="124"/>
      <c r="CM41" s="124">
        <f>CJ41*CM$70</f>
        <v>2980.5387749856704</v>
      </c>
      <c r="CN41" s="124"/>
      <c r="CO41" s="124"/>
      <c r="CP41" s="124">
        <f>CM41*CP$70</f>
        <v>3087.8381708851548</v>
      </c>
      <c r="CQ41" s="124"/>
      <c r="CR41" s="124"/>
      <c r="CS41" s="124">
        <f>CP41*CS$70</f>
        <v>3199.0003450370205</v>
      </c>
      <c r="CT41" s="124"/>
      <c r="CU41" s="124"/>
      <c r="CV41" s="124">
        <f>CS41*CV$70</f>
        <v>3314.1643574583532</v>
      </c>
      <c r="CW41" s="124"/>
      <c r="CX41" s="124"/>
      <c r="CY41" s="124">
        <f>CV41*CY$70</f>
        <v>3433.4742743268539</v>
      </c>
      <c r="CZ41" s="124"/>
      <c r="DA41" s="124"/>
      <c r="DB41" s="124">
        <f>CY41*DB$70</f>
        <v>3557.0793482026206</v>
      </c>
      <c r="DC41" s="124"/>
      <c r="DD41" s="124"/>
      <c r="DE41" s="124">
        <f>DB41*DE$70</f>
        <v>3685.1342047379153</v>
      </c>
      <c r="DF41" s="124"/>
      <c r="DG41" s="124"/>
      <c r="DH41" s="124">
        <f>DE41*DH$70</f>
        <v>3817.7990361084803</v>
      </c>
      <c r="DI41" s="124"/>
      <c r="DJ41" s="124"/>
      <c r="DK41" s="124">
        <f>DH41*DK$70</f>
        <v>3955.2398014083856</v>
      </c>
      <c r="DL41" s="124"/>
      <c r="DM41" s="124"/>
      <c r="DN41" s="124">
        <f>DK41*DN$70</f>
        <v>4097.628434259088</v>
      </c>
      <c r="DO41" s="124"/>
      <c r="DP41" s="124"/>
      <c r="DQ41" s="124">
        <f>DN41*DQ$70</f>
        <v>4245.1430578924155</v>
      </c>
      <c r="DR41" s="124"/>
      <c r="DS41" s="124"/>
      <c r="DT41" s="124">
        <f>DQ41*DT$70</f>
        <v>4397.9682079765425</v>
      </c>
      <c r="DU41" s="124"/>
      <c r="DV41" s="124"/>
      <c r="DW41" s="124">
        <f>DT41*DW$70</f>
        <v>4556.2950634636982</v>
      </c>
      <c r="DX41" s="124"/>
      <c r="DY41" s="124"/>
      <c r="DZ41" s="124">
        <f>DW41*DZ$70</f>
        <v>4720.3216857483912</v>
      </c>
      <c r="EA41" s="124"/>
      <c r="EB41" s="124"/>
      <c r="EC41" s="124">
        <f>DZ41*EC$70</f>
        <v>4890.2532664353339</v>
      </c>
      <c r="ED41" s="124"/>
      <c r="EE41" s="124"/>
      <c r="EF41" s="124">
        <f>EC41*EF$70</f>
        <v>5066.3023840270062</v>
      </c>
      <c r="EG41" s="124"/>
      <c r="EH41" s="124"/>
    </row>
    <row r="42" spans="1:141">
      <c r="A42" s="125" t="s">
        <v>415</v>
      </c>
      <c r="B42" s="126" t="s">
        <v>657</v>
      </c>
      <c r="C42" s="122" t="s">
        <v>349</v>
      </c>
      <c r="D42" s="128">
        <f t="shared" ref="D42:I42" si="142">D43+D44</f>
        <v>12422.487180588862</v>
      </c>
      <c r="E42" s="123">
        <f t="shared" si="142"/>
        <v>7058.9896452707299</v>
      </c>
      <c r="F42" s="124">
        <f t="shared" si="142"/>
        <v>1360.42888748716</v>
      </c>
      <c r="G42" s="124">
        <f t="shared" si="142"/>
        <v>2716.18395915364</v>
      </c>
      <c r="H42" s="124">
        <f t="shared" si="142"/>
        <v>2982.3767986299299</v>
      </c>
      <c r="I42" s="124">
        <f t="shared" si="142"/>
        <v>0</v>
      </c>
      <c r="J42" s="124"/>
      <c r="K42" s="124"/>
      <c r="L42" s="124">
        <f>L43+L44</f>
        <v>0</v>
      </c>
      <c r="M42" s="124"/>
      <c r="N42" s="124"/>
      <c r="O42" s="124">
        <f>O43+O44</f>
        <v>0</v>
      </c>
      <c r="P42" s="124"/>
      <c r="Q42" s="124"/>
      <c r="R42" s="124">
        <f>R43+R44</f>
        <v>0</v>
      </c>
      <c r="S42" s="124"/>
      <c r="T42" s="124"/>
      <c r="U42" s="124">
        <f>U43+U44</f>
        <v>0</v>
      </c>
      <c r="V42" s="124"/>
      <c r="W42" s="124"/>
      <c r="X42" s="124">
        <f>X43+X44</f>
        <v>0</v>
      </c>
      <c r="Y42" s="124"/>
      <c r="Z42" s="124"/>
      <c r="AA42" s="124">
        <f>AA43+AA44</f>
        <v>0</v>
      </c>
      <c r="AB42" s="124"/>
      <c r="AC42" s="124"/>
      <c r="AD42" s="124">
        <f>AD43+AD44</f>
        <v>0</v>
      </c>
      <c r="AE42" s="124"/>
      <c r="AF42" s="124"/>
      <c r="AG42" s="124">
        <f>AG43+AG44</f>
        <v>0</v>
      </c>
      <c r="AH42" s="124"/>
      <c r="AI42" s="124"/>
      <c r="AJ42" s="124">
        <f>AJ43+AJ44</f>
        <v>0</v>
      </c>
      <c r="AK42" s="124"/>
      <c r="AL42" s="124"/>
      <c r="AM42" s="124">
        <f>AM43+AM44</f>
        <v>0</v>
      </c>
      <c r="AN42" s="124"/>
      <c r="AO42" s="124"/>
      <c r="AP42" s="124">
        <f>AP43+AP44</f>
        <v>0</v>
      </c>
      <c r="AQ42" s="124"/>
      <c r="AR42" s="124"/>
      <c r="AS42" s="124">
        <f>AS43+AS44</f>
        <v>0</v>
      </c>
      <c r="AT42" s="124"/>
      <c r="AU42" s="124"/>
      <c r="AV42" s="124">
        <f>AV43+AV44</f>
        <v>0</v>
      </c>
      <c r="AW42" s="124"/>
      <c r="AX42" s="124"/>
      <c r="AY42" s="124">
        <f>AY43+AY44</f>
        <v>0</v>
      </c>
      <c r="AZ42" s="124"/>
      <c r="BA42" s="124"/>
      <c r="BB42" s="124">
        <f>BB43+BB44</f>
        <v>0</v>
      </c>
      <c r="BC42" s="124"/>
      <c r="BD42" s="124"/>
      <c r="BE42" s="124">
        <f>BE43+BE44</f>
        <v>0</v>
      </c>
      <c r="BF42" s="124"/>
      <c r="BG42" s="124"/>
      <c r="BH42" s="124">
        <f>BH43+BH44</f>
        <v>0</v>
      </c>
      <c r="BI42" s="124"/>
      <c r="BJ42" s="124"/>
      <c r="BK42" s="124">
        <f>BK43+BK44</f>
        <v>0</v>
      </c>
      <c r="BL42" s="124"/>
      <c r="BM42" s="124"/>
      <c r="BN42" s="124">
        <f>BN43+BN44</f>
        <v>0</v>
      </c>
      <c r="BO42" s="124"/>
      <c r="BP42" s="124"/>
      <c r="BQ42" s="124">
        <f t="shared" ref="BQ42:BX42" si="143">BQ43+BQ44</f>
        <v>0</v>
      </c>
      <c r="BR42" s="124"/>
      <c r="BS42" s="124"/>
      <c r="BT42" s="160">
        <f t="shared" si="143"/>
        <v>5363.4975353181326</v>
      </c>
      <c r="BU42" s="124">
        <f t="shared" si="143"/>
        <v>483.77715993785301</v>
      </c>
      <c r="BV42" s="124">
        <f t="shared" si="143"/>
        <v>2486.5197206768698</v>
      </c>
      <c r="BW42" s="124">
        <f t="shared" si="143"/>
        <v>2393.2006547034098</v>
      </c>
      <c r="BX42" s="124">
        <f t="shared" si="143"/>
        <v>0</v>
      </c>
      <c r="BY42" s="124"/>
      <c r="BZ42" s="124"/>
      <c r="CA42" s="124">
        <f>CA43+CA44</f>
        <v>0</v>
      </c>
      <c r="CB42" s="124"/>
      <c r="CC42" s="124"/>
      <c r="CD42" s="124">
        <f>CD43+CD44</f>
        <v>0</v>
      </c>
      <c r="CE42" s="124"/>
      <c r="CF42" s="124"/>
      <c r="CG42" s="124">
        <f>CG43+CG44</f>
        <v>0</v>
      </c>
      <c r="CH42" s="124"/>
      <c r="CI42" s="124"/>
      <c r="CJ42" s="124">
        <f>CJ43+CJ44</f>
        <v>0</v>
      </c>
      <c r="CK42" s="124"/>
      <c r="CL42" s="124"/>
      <c r="CM42" s="124">
        <f>CM43+CM44</f>
        <v>0</v>
      </c>
      <c r="CN42" s="124"/>
      <c r="CO42" s="124"/>
      <c r="CP42" s="124">
        <f>CP43+CP44</f>
        <v>0</v>
      </c>
      <c r="CQ42" s="124"/>
      <c r="CR42" s="124"/>
      <c r="CS42" s="124">
        <f>CS43+CS44</f>
        <v>0</v>
      </c>
      <c r="CT42" s="124"/>
      <c r="CU42" s="124"/>
      <c r="CV42" s="124">
        <f>CV43+CV44</f>
        <v>0</v>
      </c>
      <c r="CW42" s="124"/>
      <c r="CX42" s="124"/>
      <c r="CY42" s="124">
        <f>CY43+CY44</f>
        <v>0</v>
      </c>
      <c r="CZ42" s="124"/>
      <c r="DA42" s="124"/>
      <c r="DB42" s="124">
        <f>DB43+DB44</f>
        <v>0</v>
      </c>
      <c r="DC42" s="124"/>
      <c r="DD42" s="124"/>
      <c r="DE42" s="124">
        <f>DE43+DE44</f>
        <v>0</v>
      </c>
      <c r="DF42" s="124"/>
      <c r="DG42" s="124"/>
      <c r="DH42" s="124">
        <f>DH43+DH44</f>
        <v>0</v>
      </c>
      <c r="DI42" s="124"/>
      <c r="DJ42" s="124"/>
      <c r="DK42" s="124">
        <f>DK43+DK44</f>
        <v>0</v>
      </c>
      <c r="DL42" s="124"/>
      <c r="DM42" s="124"/>
      <c r="DN42" s="124">
        <f>DN43+DN44</f>
        <v>0</v>
      </c>
      <c r="DO42" s="124"/>
      <c r="DP42" s="124"/>
      <c r="DQ42" s="124">
        <f>DQ43+DQ44</f>
        <v>0</v>
      </c>
      <c r="DR42" s="124"/>
      <c r="DS42" s="124"/>
      <c r="DT42" s="124">
        <f>DT43+DT44</f>
        <v>0</v>
      </c>
      <c r="DU42" s="124"/>
      <c r="DV42" s="124"/>
      <c r="DW42" s="124">
        <f>DW43+DW44</f>
        <v>0</v>
      </c>
      <c r="DX42" s="124"/>
      <c r="DY42" s="124"/>
      <c r="DZ42" s="124">
        <f>DZ43+DZ44</f>
        <v>0</v>
      </c>
      <c r="EA42" s="124"/>
      <c r="EB42" s="124"/>
      <c r="EC42" s="124">
        <f>EC43+EC44</f>
        <v>0</v>
      </c>
      <c r="ED42" s="124"/>
      <c r="EE42" s="124"/>
      <c r="EF42" s="124">
        <f>EF43+EF44</f>
        <v>0</v>
      </c>
      <c r="EG42" s="124"/>
      <c r="EH42" s="124"/>
    </row>
    <row r="43" spans="1:141">
      <c r="A43" s="125" t="s">
        <v>417</v>
      </c>
      <c r="B43" s="126" t="s">
        <v>418</v>
      </c>
      <c r="C43" s="122" t="s">
        <v>349</v>
      </c>
      <c r="D43" s="128">
        <f t="shared" ref="D43:D49" si="144">E43+BT43</f>
        <v>0</v>
      </c>
      <c r="E43" s="129">
        <f t="shared" ref="E43:E49" si="145">SUM(F43:BS43)</f>
        <v>0</v>
      </c>
      <c r="F43" s="124">
        <v>0</v>
      </c>
      <c r="G43" s="124">
        <v>0</v>
      </c>
      <c r="H43" s="124">
        <v>0</v>
      </c>
      <c r="I43" s="124">
        <v>0</v>
      </c>
      <c r="J43" s="124"/>
      <c r="K43" s="124"/>
      <c r="L43" s="124">
        <v>0</v>
      </c>
      <c r="M43" s="124"/>
      <c r="N43" s="124"/>
      <c r="O43" s="124">
        <v>0</v>
      </c>
      <c r="P43" s="124"/>
      <c r="Q43" s="124"/>
      <c r="R43" s="124">
        <v>0</v>
      </c>
      <c r="S43" s="124"/>
      <c r="T43" s="124"/>
      <c r="U43" s="124">
        <v>0</v>
      </c>
      <c r="V43" s="124"/>
      <c r="W43" s="124"/>
      <c r="X43" s="124">
        <v>0</v>
      </c>
      <c r="Y43" s="124"/>
      <c r="Z43" s="124"/>
      <c r="AA43" s="124">
        <v>0</v>
      </c>
      <c r="AB43" s="124"/>
      <c r="AC43" s="124"/>
      <c r="AD43" s="124">
        <v>0</v>
      </c>
      <c r="AE43" s="124"/>
      <c r="AF43" s="124"/>
      <c r="AG43" s="124">
        <v>0</v>
      </c>
      <c r="AH43" s="124"/>
      <c r="AI43" s="124"/>
      <c r="AJ43" s="124">
        <v>0</v>
      </c>
      <c r="AK43" s="124"/>
      <c r="AL43" s="124"/>
      <c r="AM43" s="124">
        <v>0</v>
      </c>
      <c r="AN43" s="124"/>
      <c r="AO43" s="124"/>
      <c r="AP43" s="124">
        <v>0</v>
      </c>
      <c r="AQ43" s="124"/>
      <c r="AR43" s="124"/>
      <c r="AS43" s="124">
        <v>0</v>
      </c>
      <c r="AT43" s="124"/>
      <c r="AU43" s="124"/>
      <c r="AV43" s="124">
        <v>0</v>
      </c>
      <c r="AW43" s="124"/>
      <c r="AX43" s="124"/>
      <c r="AY43" s="124">
        <v>0</v>
      </c>
      <c r="AZ43" s="124"/>
      <c r="BA43" s="124"/>
      <c r="BB43" s="124">
        <v>0</v>
      </c>
      <c r="BC43" s="124"/>
      <c r="BD43" s="124"/>
      <c r="BE43" s="124">
        <v>0</v>
      </c>
      <c r="BF43" s="124"/>
      <c r="BG43" s="124"/>
      <c r="BH43" s="124">
        <v>0</v>
      </c>
      <c r="BI43" s="124"/>
      <c r="BJ43" s="124"/>
      <c r="BK43" s="124">
        <v>0</v>
      </c>
      <c r="BL43" s="124"/>
      <c r="BM43" s="124"/>
      <c r="BN43" s="124">
        <v>0</v>
      </c>
      <c r="BO43" s="124"/>
      <c r="BP43" s="124"/>
      <c r="BQ43" s="124">
        <v>0</v>
      </c>
      <c r="BR43" s="124"/>
      <c r="BS43" s="124"/>
      <c r="BT43" s="129">
        <f t="shared" ref="BT43:BT49" si="146">SUM(BU43:EH43)</f>
        <v>0</v>
      </c>
      <c r="BU43" s="124">
        <v>0</v>
      </c>
      <c r="BV43" s="124">
        <v>0</v>
      </c>
      <c r="BW43" s="124">
        <v>0</v>
      </c>
      <c r="BX43" s="124">
        <v>0</v>
      </c>
      <c r="BY43" s="124"/>
      <c r="BZ43" s="124"/>
      <c r="CA43" s="124">
        <v>0</v>
      </c>
      <c r="CB43" s="124"/>
      <c r="CC43" s="124"/>
      <c r="CD43" s="124">
        <v>0</v>
      </c>
      <c r="CE43" s="124"/>
      <c r="CF43" s="124"/>
      <c r="CG43" s="124">
        <v>0</v>
      </c>
      <c r="CH43" s="124"/>
      <c r="CI43" s="124"/>
      <c r="CJ43" s="124">
        <v>0</v>
      </c>
      <c r="CK43" s="124"/>
      <c r="CL43" s="124"/>
      <c r="CM43" s="124">
        <v>0</v>
      </c>
      <c r="CN43" s="124"/>
      <c r="CO43" s="124"/>
      <c r="CP43" s="124">
        <v>0</v>
      </c>
      <c r="CQ43" s="124"/>
      <c r="CR43" s="124"/>
      <c r="CS43" s="124">
        <v>0</v>
      </c>
      <c r="CT43" s="124"/>
      <c r="CU43" s="124"/>
      <c r="CV43" s="124">
        <v>0</v>
      </c>
      <c r="CW43" s="124"/>
      <c r="CX43" s="124"/>
      <c r="CY43" s="124">
        <v>0</v>
      </c>
      <c r="CZ43" s="124"/>
      <c r="DA43" s="124"/>
      <c r="DB43" s="124">
        <v>0</v>
      </c>
      <c r="DC43" s="124"/>
      <c r="DD43" s="124"/>
      <c r="DE43" s="124">
        <v>0</v>
      </c>
      <c r="DF43" s="124"/>
      <c r="DG43" s="124"/>
      <c r="DH43" s="124">
        <v>0</v>
      </c>
      <c r="DI43" s="124"/>
      <c r="DJ43" s="124"/>
      <c r="DK43" s="124">
        <v>0</v>
      </c>
      <c r="DL43" s="124"/>
      <c r="DM43" s="124"/>
      <c r="DN43" s="124">
        <v>0</v>
      </c>
      <c r="DO43" s="124"/>
      <c r="DP43" s="124"/>
      <c r="DQ43" s="124">
        <v>0</v>
      </c>
      <c r="DR43" s="124"/>
      <c r="DS43" s="124"/>
      <c r="DT43" s="124">
        <v>0</v>
      </c>
      <c r="DU43" s="124"/>
      <c r="DV43" s="124"/>
      <c r="DW43" s="124">
        <v>0</v>
      </c>
      <c r="DX43" s="124"/>
      <c r="DY43" s="124"/>
      <c r="DZ43" s="124">
        <v>0</v>
      </c>
      <c r="EA43" s="124"/>
      <c r="EB43" s="124"/>
      <c r="EC43" s="124">
        <v>0</v>
      </c>
      <c r="ED43" s="124"/>
      <c r="EE43" s="124"/>
      <c r="EF43" s="124">
        <v>0</v>
      </c>
      <c r="EG43" s="124"/>
      <c r="EH43" s="124"/>
    </row>
    <row r="44" spans="1:141">
      <c r="A44" s="125" t="s">
        <v>419</v>
      </c>
      <c r="B44" s="126" t="s">
        <v>420</v>
      </c>
      <c r="C44" s="122" t="s">
        <v>349</v>
      </c>
      <c r="D44" s="128">
        <f t="shared" si="144"/>
        <v>12422.487180588862</v>
      </c>
      <c r="E44" s="129">
        <f t="shared" si="145"/>
        <v>7058.9896452707299</v>
      </c>
      <c r="F44" s="124">
        <v>1360.42888748716</v>
      </c>
      <c r="G44" s="124">
        <v>2716.18395915364</v>
      </c>
      <c r="H44" s="124">
        <v>2982.3767986299299</v>
      </c>
      <c r="I44" s="124">
        <v>0</v>
      </c>
      <c r="J44" s="124"/>
      <c r="K44" s="124"/>
      <c r="L44" s="124">
        <v>0</v>
      </c>
      <c r="M44" s="124"/>
      <c r="N44" s="124"/>
      <c r="O44" s="124">
        <f>L44*O$70</f>
        <v>0</v>
      </c>
      <c r="P44" s="124"/>
      <c r="Q44" s="124"/>
      <c r="R44" s="124">
        <f>O44*R$70</f>
        <v>0</v>
      </c>
      <c r="S44" s="124"/>
      <c r="T44" s="124"/>
      <c r="U44" s="124">
        <f>R44*U$70</f>
        <v>0</v>
      </c>
      <c r="V44" s="124"/>
      <c r="W44" s="124"/>
      <c r="X44" s="124">
        <f>U44*X$70</f>
        <v>0</v>
      </c>
      <c r="Y44" s="124"/>
      <c r="Z44" s="124"/>
      <c r="AA44" s="124">
        <f>X44*AA$70</f>
        <v>0</v>
      </c>
      <c r="AB44" s="124"/>
      <c r="AC44" s="124"/>
      <c r="AD44" s="124">
        <f>AA44*AD$70</f>
        <v>0</v>
      </c>
      <c r="AE44" s="124"/>
      <c r="AF44" s="124"/>
      <c r="AG44" s="124">
        <f>AD44*AG$70</f>
        <v>0</v>
      </c>
      <c r="AH44" s="124"/>
      <c r="AI44" s="124"/>
      <c r="AJ44" s="124">
        <f>AG44*AJ$70</f>
        <v>0</v>
      </c>
      <c r="AK44" s="124"/>
      <c r="AL44" s="124"/>
      <c r="AM44" s="124">
        <f>AJ44*AM$70</f>
        <v>0</v>
      </c>
      <c r="AN44" s="124"/>
      <c r="AO44" s="124"/>
      <c r="AP44" s="124">
        <f>AM44*AP$70</f>
        <v>0</v>
      </c>
      <c r="AQ44" s="124"/>
      <c r="AR44" s="124"/>
      <c r="AS44" s="124">
        <f>AP44*AS$70</f>
        <v>0</v>
      </c>
      <c r="AT44" s="124"/>
      <c r="AU44" s="124"/>
      <c r="AV44" s="124">
        <f>AS44*AV$70</f>
        <v>0</v>
      </c>
      <c r="AW44" s="124"/>
      <c r="AX44" s="124"/>
      <c r="AY44" s="124">
        <f>AV44*AY$70</f>
        <v>0</v>
      </c>
      <c r="AZ44" s="124"/>
      <c r="BA44" s="124"/>
      <c r="BB44" s="124">
        <f>AY44*BB$70</f>
        <v>0</v>
      </c>
      <c r="BC44" s="124"/>
      <c r="BD44" s="124"/>
      <c r="BE44" s="124">
        <f>BB44*BE$70</f>
        <v>0</v>
      </c>
      <c r="BF44" s="124"/>
      <c r="BG44" s="124"/>
      <c r="BH44" s="124">
        <f>BE44*BH$70</f>
        <v>0</v>
      </c>
      <c r="BI44" s="124"/>
      <c r="BJ44" s="124"/>
      <c r="BK44" s="124">
        <f>BH44*BK$70</f>
        <v>0</v>
      </c>
      <c r="BL44" s="124"/>
      <c r="BM44" s="124"/>
      <c r="BN44" s="124">
        <f>BK44*BN$70</f>
        <v>0</v>
      </c>
      <c r="BO44" s="124"/>
      <c r="BP44" s="124"/>
      <c r="BQ44" s="124">
        <f>BN44*BQ$70</f>
        <v>0</v>
      </c>
      <c r="BR44" s="124"/>
      <c r="BS44" s="124"/>
      <c r="BT44" s="129">
        <f t="shared" si="146"/>
        <v>5363.4975353181326</v>
      </c>
      <c r="BU44" s="124">
        <v>483.77715993785301</v>
      </c>
      <c r="BV44" s="124">
        <v>2486.5197206768698</v>
      </c>
      <c r="BW44" s="124">
        <v>2393.2006547034098</v>
      </c>
      <c r="BX44" s="124">
        <v>0</v>
      </c>
      <c r="BY44" s="124"/>
      <c r="BZ44" s="124"/>
      <c r="CA44" s="124">
        <v>0</v>
      </c>
      <c r="CB44" s="124"/>
      <c r="CC44" s="124"/>
      <c r="CD44" s="124">
        <f>CA44*CD$70</f>
        <v>0</v>
      </c>
      <c r="CE44" s="124"/>
      <c r="CF44" s="124"/>
      <c r="CG44" s="124">
        <f>CD44*CG$70</f>
        <v>0</v>
      </c>
      <c r="CH44" s="124"/>
      <c r="CI44" s="124"/>
      <c r="CJ44" s="124">
        <f>CG44*CJ$70</f>
        <v>0</v>
      </c>
      <c r="CK44" s="124"/>
      <c r="CL44" s="124"/>
      <c r="CM44" s="124">
        <f>CJ44*CM$70</f>
        <v>0</v>
      </c>
      <c r="CN44" s="124"/>
      <c r="CO44" s="124"/>
      <c r="CP44" s="124">
        <f>CM44*CP$70</f>
        <v>0</v>
      </c>
      <c r="CQ44" s="124"/>
      <c r="CR44" s="124"/>
      <c r="CS44" s="124">
        <f>CP44*CS$70</f>
        <v>0</v>
      </c>
      <c r="CT44" s="124"/>
      <c r="CU44" s="124"/>
      <c r="CV44" s="124">
        <f>CS44*CV$70</f>
        <v>0</v>
      </c>
      <c r="CW44" s="124"/>
      <c r="CX44" s="124"/>
      <c r="CY44" s="124">
        <f>CV44*CY$70</f>
        <v>0</v>
      </c>
      <c r="CZ44" s="124"/>
      <c r="DA44" s="124"/>
      <c r="DB44" s="124">
        <f>CY44*DB$70</f>
        <v>0</v>
      </c>
      <c r="DC44" s="124"/>
      <c r="DD44" s="124"/>
      <c r="DE44" s="124">
        <f>DB44*DE$70</f>
        <v>0</v>
      </c>
      <c r="DF44" s="124"/>
      <c r="DG44" s="124"/>
      <c r="DH44" s="124">
        <f>DE44*DH$70</f>
        <v>0</v>
      </c>
      <c r="DI44" s="124"/>
      <c r="DJ44" s="124"/>
      <c r="DK44" s="124">
        <f>DH44*DK$70</f>
        <v>0</v>
      </c>
      <c r="DL44" s="124"/>
      <c r="DM44" s="124"/>
      <c r="DN44" s="124">
        <f>DK44*DN$70</f>
        <v>0</v>
      </c>
      <c r="DO44" s="124"/>
      <c r="DP44" s="124"/>
      <c r="DQ44" s="124">
        <f>DN44*DQ$70</f>
        <v>0</v>
      </c>
      <c r="DR44" s="124"/>
      <c r="DS44" s="124"/>
      <c r="DT44" s="124">
        <f>DQ44*DT$70</f>
        <v>0</v>
      </c>
      <c r="DU44" s="124"/>
      <c r="DV44" s="124"/>
      <c r="DW44" s="124">
        <f>DT44*DW$70</f>
        <v>0</v>
      </c>
      <c r="DX44" s="124"/>
      <c r="DY44" s="124"/>
      <c r="DZ44" s="124">
        <f>DW44*DZ$70</f>
        <v>0</v>
      </c>
      <c r="EA44" s="124"/>
      <c r="EB44" s="124"/>
      <c r="EC44" s="124">
        <f>DZ44*EC$70</f>
        <v>0</v>
      </c>
      <c r="ED44" s="124"/>
      <c r="EE44" s="124"/>
      <c r="EF44" s="124">
        <f>EC44*EF$70</f>
        <v>0</v>
      </c>
      <c r="EG44" s="124"/>
      <c r="EH44" s="124"/>
    </row>
    <row r="45" spans="1:141">
      <c r="A45" s="125" t="s">
        <v>22</v>
      </c>
      <c r="B45" s="126" t="s">
        <v>421</v>
      </c>
      <c r="C45" s="122" t="s">
        <v>349</v>
      </c>
      <c r="D45" s="128">
        <f t="shared" si="144"/>
        <v>926580.81252877403</v>
      </c>
      <c r="E45" s="129">
        <f t="shared" si="145"/>
        <v>626722.5780178362</v>
      </c>
      <c r="F45" s="124">
        <v>8997.0553799999998</v>
      </c>
      <c r="G45" s="124">
        <v>10560.505080000001</v>
      </c>
      <c r="H45" s="124">
        <v>15245.86736</v>
      </c>
      <c r="I45" s="124">
        <v>29107.879639999999</v>
      </c>
      <c r="J45" s="124"/>
      <c r="K45" s="124"/>
      <c r="L45" s="124">
        <v>28169.224999999999</v>
      </c>
      <c r="M45" s="124"/>
      <c r="N45" s="124"/>
      <c r="O45" s="124">
        <v>28139.055029359799</v>
      </c>
      <c r="P45" s="124"/>
      <c r="Q45" s="124"/>
      <c r="R45" s="124">
        <f>O45</f>
        <v>28139.055029359799</v>
      </c>
      <c r="S45" s="124"/>
      <c r="T45" s="124"/>
      <c r="U45" s="124">
        <f>R45</f>
        <v>28139.055029359799</v>
      </c>
      <c r="V45" s="124"/>
      <c r="W45" s="124"/>
      <c r="X45" s="124">
        <f>U45</f>
        <v>28139.055029359799</v>
      </c>
      <c r="Y45" s="124"/>
      <c r="Z45" s="124"/>
      <c r="AA45" s="124">
        <f>X45</f>
        <v>28139.055029359799</v>
      </c>
      <c r="AB45" s="124"/>
      <c r="AC45" s="124"/>
      <c r="AD45" s="124">
        <f>AA45</f>
        <v>28139.055029359799</v>
      </c>
      <c r="AE45" s="124"/>
      <c r="AF45" s="124"/>
      <c r="AG45" s="124">
        <f>AD45</f>
        <v>28139.055029359799</v>
      </c>
      <c r="AH45" s="124"/>
      <c r="AI45" s="124"/>
      <c r="AJ45" s="124">
        <f>AG45</f>
        <v>28139.055029359799</v>
      </c>
      <c r="AK45" s="124"/>
      <c r="AL45" s="124"/>
      <c r="AM45" s="124">
        <f>AJ45</f>
        <v>28139.055029359799</v>
      </c>
      <c r="AN45" s="124"/>
      <c r="AO45" s="124"/>
      <c r="AP45" s="124">
        <f>AM45</f>
        <v>28139.055029359799</v>
      </c>
      <c r="AQ45" s="124"/>
      <c r="AR45" s="124"/>
      <c r="AS45" s="124">
        <f>AP45</f>
        <v>28139.055029359799</v>
      </c>
      <c r="AT45" s="124"/>
      <c r="AU45" s="124"/>
      <c r="AV45" s="124">
        <f>AS45</f>
        <v>28139.055029359799</v>
      </c>
      <c r="AW45" s="124"/>
      <c r="AX45" s="124"/>
      <c r="AY45" s="124">
        <f>AV45</f>
        <v>28139.055029359799</v>
      </c>
      <c r="AZ45" s="124"/>
      <c r="BA45" s="124"/>
      <c r="BB45" s="124">
        <f>AY45</f>
        <v>28139.055029359799</v>
      </c>
      <c r="BC45" s="124"/>
      <c r="BD45" s="124"/>
      <c r="BE45" s="124">
        <f>BB45</f>
        <v>28139.055029359799</v>
      </c>
      <c r="BF45" s="124"/>
      <c r="BG45" s="124"/>
      <c r="BH45" s="124">
        <f>BE45</f>
        <v>28139.055029359799</v>
      </c>
      <c r="BI45" s="124"/>
      <c r="BJ45" s="124"/>
      <c r="BK45" s="124">
        <f>BH45</f>
        <v>28139.055029359799</v>
      </c>
      <c r="BL45" s="124"/>
      <c r="BM45" s="124"/>
      <c r="BN45" s="124">
        <f>BK45</f>
        <v>28139.055029359799</v>
      </c>
      <c r="BO45" s="124"/>
      <c r="BP45" s="124"/>
      <c r="BQ45" s="124">
        <f>BN45</f>
        <v>28139.055029359799</v>
      </c>
      <c r="BR45" s="124"/>
      <c r="BS45" s="124"/>
      <c r="BT45" s="129">
        <f t="shared" si="146"/>
        <v>299858.23451093782</v>
      </c>
      <c r="BU45" s="124">
        <v>5877.6347800000003</v>
      </c>
      <c r="BV45" s="124">
        <f>7843.84922</f>
        <v>7843.8492200000001</v>
      </c>
      <c r="BW45" s="124">
        <v>9273.0865900000008</v>
      </c>
      <c r="BX45" s="124">
        <v>10271.340179999999</v>
      </c>
      <c r="BY45" s="124"/>
      <c r="BZ45" s="124"/>
      <c r="CA45" s="124">
        <v>9273.0865900000008</v>
      </c>
      <c r="CB45" s="124"/>
      <c r="CC45" s="124"/>
      <c r="CD45" s="124">
        <v>13543.117744786199</v>
      </c>
      <c r="CE45" s="124"/>
      <c r="CF45" s="124"/>
      <c r="CG45" s="124">
        <f>CD45</f>
        <v>13543.117744786199</v>
      </c>
      <c r="CH45" s="124"/>
      <c r="CI45" s="124"/>
      <c r="CJ45" s="124">
        <f>CG45</f>
        <v>13543.117744786199</v>
      </c>
      <c r="CK45" s="124"/>
      <c r="CL45" s="124"/>
      <c r="CM45" s="124">
        <f>CJ45</f>
        <v>13543.117744786199</v>
      </c>
      <c r="CN45" s="124"/>
      <c r="CO45" s="124"/>
      <c r="CP45" s="124">
        <f>CM45</f>
        <v>13543.117744786199</v>
      </c>
      <c r="CQ45" s="124"/>
      <c r="CR45" s="124"/>
      <c r="CS45" s="124">
        <f>CP45</f>
        <v>13543.117744786199</v>
      </c>
      <c r="CT45" s="124"/>
      <c r="CU45" s="124"/>
      <c r="CV45" s="124">
        <f>CS45</f>
        <v>13543.117744786199</v>
      </c>
      <c r="CW45" s="124"/>
      <c r="CX45" s="124"/>
      <c r="CY45" s="124">
        <f>CV45</f>
        <v>13543.117744786199</v>
      </c>
      <c r="CZ45" s="124"/>
      <c r="DA45" s="124"/>
      <c r="DB45" s="124">
        <f>CY45</f>
        <v>13543.117744786199</v>
      </c>
      <c r="DC45" s="124"/>
      <c r="DD45" s="124"/>
      <c r="DE45" s="124">
        <f>DB45</f>
        <v>13543.117744786199</v>
      </c>
      <c r="DF45" s="124"/>
      <c r="DG45" s="124"/>
      <c r="DH45" s="124">
        <f>DE45</f>
        <v>13543.117744786199</v>
      </c>
      <c r="DI45" s="124"/>
      <c r="DJ45" s="124"/>
      <c r="DK45" s="124">
        <f>DH45</f>
        <v>13543.117744786199</v>
      </c>
      <c r="DL45" s="124"/>
      <c r="DM45" s="124"/>
      <c r="DN45" s="124">
        <f>DK45</f>
        <v>13543.117744786199</v>
      </c>
      <c r="DO45" s="124"/>
      <c r="DP45" s="124"/>
      <c r="DQ45" s="124">
        <f>DN45</f>
        <v>13543.117744786199</v>
      </c>
      <c r="DR45" s="124"/>
      <c r="DS45" s="124"/>
      <c r="DT45" s="124">
        <f>DQ45</f>
        <v>13543.117744786199</v>
      </c>
      <c r="DU45" s="124"/>
      <c r="DV45" s="124"/>
      <c r="DW45" s="124">
        <f>DT45</f>
        <v>13543.117744786199</v>
      </c>
      <c r="DX45" s="124"/>
      <c r="DY45" s="124"/>
      <c r="DZ45" s="124">
        <f>DW45</f>
        <v>13543.117744786199</v>
      </c>
      <c r="EA45" s="124"/>
      <c r="EB45" s="124"/>
      <c r="EC45" s="124">
        <f>DZ45</f>
        <v>13543.117744786199</v>
      </c>
      <c r="ED45" s="124"/>
      <c r="EE45" s="124"/>
      <c r="EF45" s="124">
        <f>EC45</f>
        <v>13543.117744786199</v>
      </c>
      <c r="EG45" s="124"/>
      <c r="EH45" s="124"/>
      <c r="EK45" s="169"/>
    </row>
    <row r="46" spans="1:141" s="100" customFormat="1">
      <c r="A46" s="131"/>
      <c r="B46" s="132" t="s">
        <v>658</v>
      </c>
      <c r="C46" s="133" t="s">
        <v>349</v>
      </c>
      <c r="D46" s="134">
        <f t="shared" si="144"/>
        <v>703525.95451524248</v>
      </c>
      <c r="E46" s="135">
        <f t="shared" si="145"/>
        <v>460624.04924093018</v>
      </c>
      <c r="F46" s="136">
        <v>8458.76512</v>
      </c>
      <c r="G46" s="136">
        <v>1858.0643</v>
      </c>
      <c r="H46" s="136">
        <v>14609.55</v>
      </c>
      <c r="I46" s="136">
        <v>18383.39</v>
      </c>
      <c r="J46" s="136"/>
      <c r="K46" s="136"/>
      <c r="L46" s="136">
        <v>9957.5293408853995</v>
      </c>
      <c r="M46" s="136"/>
      <c r="N46" s="136"/>
      <c r="O46" s="136">
        <f>O45-O47-O48-O49</f>
        <v>10944.721671001476</v>
      </c>
      <c r="P46" s="136"/>
      <c r="Q46" s="136"/>
      <c r="R46" s="136">
        <f>R45-R47-R48-R49</f>
        <v>6374.654330461819</v>
      </c>
      <c r="S46" s="136"/>
      <c r="T46" s="136"/>
      <c r="U46" s="136">
        <f>U45-U47-U48-U49</f>
        <v>3112.8847663567685</v>
      </c>
      <c r="V46" s="136"/>
      <c r="W46" s="136"/>
      <c r="X46" s="136">
        <f>X45-X47-X48-X49</f>
        <v>4473.8714524129991</v>
      </c>
      <c r="Y46" s="136"/>
      <c r="Z46" s="136"/>
      <c r="AA46" s="136">
        <f>AA45-AA47-AA48-AA49</f>
        <v>4380.4805597046097</v>
      </c>
      <c r="AB46" s="136"/>
      <c r="AC46" s="136"/>
      <c r="AD46" s="136">
        <f>AD45-AD47-AD48-AD49</f>
        <v>16162.422318429599</v>
      </c>
      <c r="AE46" s="136"/>
      <c r="AF46" s="136"/>
      <c r="AG46" s="136">
        <f>AG45-AG47-AG48-AG49</f>
        <v>27839.055029359799</v>
      </c>
      <c r="AH46" s="136"/>
      <c r="AI46" s="136"/>
      <c r="AJ46" s="136">
        <f>AJ45-AJ47-AJ48-AJ49</f>
        <v>27839.055029359799</v>
      </c>
      <c r="AK46" s="136"/>
      <c r="AL46" s="136"/>
      <c r="AM46" s="136">
        <f>AM45-AM47-AM48-AM49</f>
        <v>27839.055029359799</v>
      </c>
      <c r="AN46" s="136"/>
      <c r="AO46" s="136"/>
      <c r="AP46" s="136">
        <f>AP45-AP47-AP48-AP49</f>
        <v>27839.055029359799</v>
      </c>
      <c r="AQ46" s="136"/>
      <c r="AR46" s="136"/>
      <c r="AS46" s="136">
        <f>AS45-AS47-AS48-AS49</f>
        <v>27839.055029359799</v>
      </c>
      <c r="AT46" s="136"/>
      <c r="AU46" s="136"/>
      <c r="AV46" s="136">
        <f>AV45-AV47-AV48-AV49</f>
        <v>27839.055029359799</v>
      </c>
      <c r="AW46" s="136"/>
      <c r="AX46" s="136"/>
      <c r="AY46" s="136">
        <f>AY45-AY47-AY48-AY49</f>
        <v>27839.055029359799</v>
      </c>
      <c r="AZ46" s="136"/>
      <c r="BA46" s="136"/>
      <c r="BB46" s="136">
        <f>BB45-BB47-BB48-BB49</f>
        <v>27839.055029359799</v>
      </c>
      <c r="BC46" s="136"/>
      <c r="BD46" s="136"/>
      <c r="BE46" s="136">
        <f>BE45-BE47-BE48-BE49</f>
        <v>27839.055029359799</v>
      </c>
      <c r="BF46" s="136"/>
      <c r="BG46" s="136"/>
      <c r="BH46" s="136">
        <f>BH45-BH47-BH48-BH49</f>
        <v>27839.055029359799</v>
      </c>
      <c r="BI46" s="136"/>
      <c r="BJ46" s="136"/>
      <c r="BK46" s="136">
        <f>BK45-BK47-BK48-BK49</f>
        <v>27839.055029359799</v>
      </c>
      <c r="BL46" s="136"/>
      <c r="BM46" s="136"/>
      <c r="BN46" s="136">
        <f>BN45-BN47-BN48-BN49</f>
        <v>27839.055029359799</v>
      </c>
      <c r="BO46" s="136"/>
      <c r="BP46" s="136"/>
      <c r="BQ46" s="136">
        <f>BQ45-BQ47-BQ48-BQ49</f>
        <v>27839.055029359799</v>
      </c>
      <c r="BR46" s="136"/>
      <c r="BS46" s="136"/>
      <c r="BT46" s="135">
        <f t="shared" si="146"/>
        <v>242901.9052743123</v>
      </c>
      <c r="BU46" s="136">
        <v>2791.4819599999901</v>
      </c>
      <c r="BV46" s="136">
        <v>971.39</v>
      </c>
      <c r="BW46" s="136">
        <v>9273.0865900000008</v>
      </c>
      <c r="BX46" s="136">
        <v>0</v>
      </c>
      <c r="BY46" s="136"/>
      <c r="BZ46" s="136"/>
      <c r="CA46" s="136">
        <v>6839.5949889762096</v>
      </c>
      <c r="CB46" s="136"/>
      <c r="CC46" s="136"/>
      <c r="CD46" s="136">
        <f>CD45-CD47-CD48-CD49</f>
        <v>10003.337330178021</v>
      </c>
      <c r="CE46" s="136"/>
      <c r="CF46" s="136"/>
      <c r="CG46" s="136">
        <f>CG45-CG47-CG48-CG49</f>
        <v>9621.5714496441906</v>
      </c>
      <c r="CH46" s="136"/>
      <c r="CI46" s="136"/>
      <c r="CJ46" s="136">
        <f>CJ45-CJ47-CJ48-CJ49</f>
        <v>4962.5263202757196</v>
      </c>
      <c r="CK46" s="136"/>
      <c r="CL46" s="136"/>
      <c r="CM46" s="136">
        <f>CM45-CM47-CM48-CM49</f>
        <v>6280.0704634451886</v>
      </c>
      <c r="CN46" s="136"/>
      <c r="CO46" s="136"/>
      <c r="CP46" s="136">
        <f>CP45-CP47-CP48-CP49</f>
        <v>12392.7277447862</v>
      </c>
      <c r="CQ46" s="136"/>
      <c r="CR46" s="136"/>
      <c r="CS46" s="136">
        <f>CS45-CS47-CS48-CS49</f>
        <v>12805.587744786199</v>
      </c>
      <c r="CT46" s="136"/>
      <c r="CU46" s="136"/>
      <c r="CV46" s="136">
        <f>CV45-CV47-CV48-CV49</f>
        <v>12843.117744786199</v>
      </c>
      <c r="CW46" s="136"/>
      <c r="CX46" s="136"/>
      <c r="CY46" s="136">
        <f>CY45-CY47-CY48-CY49</f>
        <v>12843.117744786199</v>
      </c>
      <c r="CZ46" s="136"/>
      <c r="DA46" s="136"/>
      <c r="DB46" s="136">
        <f>DB45-DB47-DB48-DB49</f>
        <v>12843.117744786199</v>
      </c>
      <c r="DC46" s="136"/>
      <c r="DD46" s="136"/>
      <c r="DE46" s="136">
        <f>DE45-DE47-DE48-DE49</f>
        <v>12843.117744786199</v>
      </c>
      <c r="DF46" s="136"/>
      <c r="DG46" s="136"/>
      <c r="DH46" s="136">
        <f>DH45-DH47-DH48-DH49</f>
        <v>12843.117744786199</v>
      </c>
      <c r="DI46" s="136"/>
      <c r="DJ46" s="136"/>
      <c r="DK46" s="136">
        <f>DK45-DK47-DK48-DK49</f>
        <v>12843.117744786199</v>
      </c>
      <c r="DL46" s="136"/>
      <c r="DM46" s="136"/>
      <c r="DN46" s="136">
        <f>DN45-DN47-DN48-DN49</f>
        <v>12843.117744786199</v>
      </c>
      <c r="DO46" s="136"/>
      <c r="DP46" s="136"/>
      <c r="DQ46" s="136">
        <f>DQ45-DQ47-DQ48-DQ49</f>
        <v>12843.117744786199</v>
      </c>
      <c r="DR46" s="136"/>
      <c r="DS46" s="136"/>
      <c r="DT46" s="136">
        <f>DT45-DT47-DT48-DT49</f>
        <v>12843.117744786199</v>
      </c>
      <c r="DU46" s="136"/>
      <c r="DV46" s="136"/>
      <c r="DW46" s="136">
        <f>DW45-DW47-DW48-DW49</f>
        <v>12843.117744786199</v>
      </c>
      <c r="DX46" s="136"/>
      <c r="DY46" s="136"/>
      <c r="DZ46" s="136">
        <f>DZ45-DZ47-DZ48-DZ49</f>
        <v>12843.117744786199</v>
      </c>
      <c r="EA46" s="136"/>
      <c r="EB46" s="136"/>
      <c r="EC46" s="136">
        <f>EC45-EC47-EC48-EC49</f>
        <v>12843.117744786199</v>
      </c>
      <c r="ED46" s="136"/>
      <c r="EE46" s="136"/>
      <c r="EF46" s="136">
        <f>EF45-EF47-EF48-EF49</f>
        <v>12843.117744786199</v>
      </c>
      <c r="EG46" s="136"/>
      <c r="EH46" s="136"/>
      <c r="EI46" s="170">
        <f t="shared" ref="EI46:EI49" si="147">BT46+E46</f>
        <v>703525.95451524248</v>
      </c>
      <c r="EJ46" s="170"/>
      <c r="EK46" s="170"/>
    </row>
    <row r="47" spans="1:141" s="100" customFormat="1">
      <c r="A47" s="131"/>
      <c r="B47" s="132" t="s">
        <v>659</v>
      </c>
      <c r="C47" s="133" t="s">
        <v>349</v>
      </c>
      <c r="D47" s="134">
        <f t="shared" si="144"/>
        <v>24758.031472192881</v>
      </c>
      <c r="E47" s="135">
        <f t="shared" si="145"/>
        <v>8269.1808382306008</v>
      </c>
      <c r="F47" s="136"/>
      <c r="G47" s="136"/>
      <c r="H47" s="136"/>
      <c r="I47" s="136">
        <v>291.65667000000002</v>
      </c>
      <c r="J47" s="136"/>
      <c r="K47" s="136"/>
      <c r="L47" s="136">
        <f>L45-L46-L48-L49</f>
        <v>2277.5241682306005</v>
      </c>
      <c r="M47" s="136"/>
      <c r="N47" s="136"/>
      <c r="O47" s="136">
        <v>300</v>
      </c>
      <c r="P47" s="136"/>
      <c r="Q47" s="136"/>
      <c r="R47" s="136">
        <v>300</v>
      </c>
      <c r="S47" s="136"/>
      <c r="T47" s="136"/>
      <c r="U47" s="136">
        <f>R47</f>
        <v>300</v>
      </c>
      <c r="V47" s="136"/>
      <c r="W47" s="136"/>
      <c r="X47" s="136">
        <f>U47</f>
        <v>300</v>
      </c>
      <c r="Y47" s="136"/>
      <c r="Z47" s="136"/>
      <c r="AA47" s="136">
        <f>X47</f>
        <v>300</v>
      </c>
      <c r="AB47" s="136"/>
      <c r="AC47" s="136"/>
      <c r="AD47" s="136">
        <f>AA47</f>
        <v>300</v>
      </c>
      <c r="AE47" s="136"/>
      <c r="AF47" s="136"/>
      <c r="AG47" s="136">
        <f>AD47</f>
        <v>300</v>
      </c>
      <c r="AH47" s="136"/>
      <c r="AI47" s="136"/>
      <c r="AJ47" s="136">
        <f>AG47</f>
        <v>300</v>
      </c>
      <c r="AK47" s="136"/>
      <c r="AL47" s="136"/>
      <c r="AM47" s="136">
        <f>AJ47</f>
        <v>300</v>
      </c>
      <c r="AN47" s="136"/>
      <c r="AO47" s="136"/>
      <c r="AP47" s="136">
        <f>AM47</f>
        <v>300</v>
      </c>
      <c r="AQ47" s="136"/>
      <c r="AR47" s="136"/>
      <c r="AS47" s="136">
        <f>AP47</f>
        <v>300</v>
      </c>
      <c r="AT47" s="136"/>
      <c r="AU47" s="136"/>
      <c r="AV47" s="136">
        <f>AS47</f>
        <v>300</v>
      </c>
      <c r="AW47" s="136"/>
      <c r="AX47" s="136"/>
      <c r="AY47" s="136">
        <f>AV47</f>
        <v>300</v>
      </c>
      <c r="AZ47" s="136"/>
      <c r="BA47" s="136"/>
      <c r="BB47" s="136">
        <f>AY47</f>
        <v>300</v>
      </c>
      <c r="BC47" s="136"/>
      <c r="BD47" s="136"/>
      <c r="BE47" s="136">
        <f>BB47</f>
        <v>300</v>
      </c>
      <c r="BF47" s="136"/>
      <c r="BG47" s="136"/>
      <c r="BH47" s="136">
        <f>BE47</f>
        <v>300</v>
      </c>
      <c r="BI47" s="136"/>
      <c r="BJ47" s="136"/>
      <c r="BK47" s="136">
        <f>BH47</f>
        <v>300</v>
      </c>
      <c r="BL47" s="136"/>
      <c r="BM47" s="136"/>
      <c r="BN47" s="136">
        <f>BK47</f>
        <v>300</v>
      </c>
      <c r="BO47" s="136"/>
      <c r="BP47" s="136"/>
      <c r="BQ47" s="136">
        <f>BN47</f>
        <v>300</v>
      </c>
      <c r="BR47" s="136"/>
      <c r="BS47" s="136"/>
      <c r="BT47" s="135">
        <f t="shared" si="146"/>
        <v>16488.85063396228</v>
      </c>
      <c r="BU47" s="136">
        <f>BU45-BU46-BU48</f>
        <v>899.3660439622804</v>
      </c>
      <c r="BV47" s="136"/>
      <c r="BW47" s="136"/>
      <c r="BX47" s="136">
        <v>0</v>
      </c>
      <c r="BY47" s="136"/>
      <c r="BZ47" s="136"/>
      <c r="CA47" s="136">
        <f>CA45-CA46-CA48-CA49</f>
        <v>4.5900000011158681E-3</v>
      </c>
      <c r="CB47" s="136"/>
      <c r="CC47" s="136"/>
      <c r="CD47" s="136">
        <f>700+450.39</f>
        <v>1150.3899999999999</v>
      </c>
      <c r="CE47" s="136"/>
      <c r="CF47" s="136"/>
      <c r="CG47" s="136">
        <f>700+450.39</f>
        <v>1150.3899999999999</v>
      </c>
      <c r="CH47" s="136"/>
      <c r="CI47" s="136"/>
      <c r="CJ47" s="136">
        <f>700+450.39</f>
        <v>1150.3899999999999</v>
      </c>
      <c r="CK47" s="136"/>
      <c r="CL47" s="136"/>
      <c r="CM47" s="136">
        <f>700+450.39</f>
        <v>1150.3899999999999</v>
      </c>
      <c r="CN47" s="136"/>
      <c r="CO47" s="136"/>
      <c r="CP47" s="136">
        <f>700+450.39</f>
        <v>1150.3899999999999</v>
      </c>
      <c r="CQ47" s="136"/>
      <c r="CR47" s="136"/>
      <c r="CS47" s="136">
        <f>700+37.53</f>
        <v>737.53</v>
      </c>
      <c r="CT47" s="136"/>
      <c r="CU47" s="136"/>
      <c r="CV47" s="136">
        <v>700</v>
      </c>
      <c r="CW47" s="136"/>
      <c r="CX47" s="136"/>
      <c r="CY47" s="136">
        <f>CV47</f>
        <v>700</v>
      </c>
      <c r="CZ47" s="136"/>
      <c r="DA47" s="136"/>
      <c r="DB47" s="136">
        <f>CY47</f>
        <v>700</v>
      </c>
      <c r="DC47" s="136"/>
      <c r="DD47" s="136"/>
      <c r="DE47" s="136">
        <f>DB47</f>
        <v>700</v>
      </c>
      <c r="DF47" s="136"/>
      <c r="DG47" s="136"/>
      <c r="DH47" s="136">
        <f>DE47</f>
        <v>700</v>
      </c>
      <c r="DI47" s="136"/>
      <c r="DJ47" s="136"/>
      <c r="DK47" s="136">
        <f>DH47</f>
        <v>700</v>
      </c>
      <c r="DL47" s="136"/>
      <c r="DM47" s="136"/>
      <c r="DN47" s="136">
        <f>DK47</f>
        <v>700</v>
      </c>
      <c r="DO47" s="136"/>
      <c r="DP47" s="136"/>
      <c r="DQ47" s="136">
        <f>DN47</f>
        <v>700</v>
      </c>
      <c r="DR47" s="136"/>
      <c r="DS47" s="136"/>
      <c r="DT47" s="136">
        <f>DQ47</f>
        <v>700</v>
      </c>
      <c r="DU47" s="136"/>
      <c r="DV47" s="136"/>
      <c r="DW47" s="136">
        <f>DT47</f>
        <v>700</v>
      </c>
      <c r="DX47" s="136"/>
      <c r="DY47" s="136"/>
      <c r="DZ47" s="136">
        <f>DW47</f>
        <v>700</v>
      </c>
      <c r="EA47" s="136"/>
      <c r="EB47" s="136"/>
      <c r="EC47" s="136">
        <f>DZ47</f>
        <v>700</v>
      </c>
      <c r="ED47" s="136"/>
      <c r="EE47" s="136"/>
      <c r="EF47" s="136">
        <f>EC47</f>
        <v>700</v>
      </c>
      <c r="EG47" s="136"/>
      <c r="EH47" s="136"/>
      <c r="EI47" s="170">
        <f t="shared" si="147"/>
        <v>24758.031472192881</v>
      </c>
      <c r="EJ47" s="170"/>
      <c r="EK47" s="170"/>
    </row>
    <row r="48" spans="1:141" s="100" customFormat="1">
      <c r="A48" s="131"/>
      <c r="B48" s="132" t="s">
        <v>660</v>
      </c>
      <c r="C48" s="133" t="s">
        <v>349</v>
      </c>
      <c r="D48" s="134">
        <f t="shared" si="144"/>
        <v>150230.49676490424</v>
      </c>
      <c r="E48" s="135">
        <f t="shared" si="145"/>
        <v>120664.09237534271</v>
      </c>
      <c r="F48" s="136">
        <v>538.29025999999999</v>
      </c>
      <c r="G48" s="136">
        <v>8702.4407800000008</v>
      </c>
      <c r="H48" s="136">
        <v>636.31736000000103</v>
      </c>
      <c r="I48" s="136">
        <v>7131.0662456155997</v>
      </c>
      <c r="J48" s="136"/>
      <c r="K48" s="136"/>
      <c r="L48" s="136">
        <v>7730.5390133935398</v>
      </c>
      <c r="M48" s="136"/>
      <c r="N48" s="136"/>
      <c r="O48" s="136">
        <f>8386.17419933398+'[10]Прил 10 коррект'!J57-O53</f>
        <v>9783.6385431932995</v>
      </c>
      <c r="P48" s="136"/>
      <c r="Q48" s="136"/>
      <c r="R48" s="136">
        <f>9121.77978504928+'[10]Прил 10 коррект'!K57-R53</f>
        <v>13334.26389699537</v>
      </c>
      <c r="S48" s="136"/>
      <c r="T48" s="136"/>
      <c r="U48" s="136">
        <v>18752.2034187889</v>
      </c>
      <c r="V48" s="136"/>
      <c r="W48" s="136"/>
      <c r="X48" s="136">
        <f>10420.8409355905+'[10]Прил 10 коррект'!M57-X53</f>
        <v>20529.1364292701</v>
      </c>
      <c r="Y48" s="136"/>
      <c r="Z48" s="136"/>
      <c r="AA48" s="136">
        <f>11741.2682234761+'[10]Прил 10 коррект'!N57-AA53</f>
        <v>21849.563717155699</v>
      </c>
      <c r="AB48" s="136"/>
      <c r="AC48" s="136"/>
      <c r="AD48" s="136">
        <v>11676.6327109302</v>
      </c>
      <c r="AE48" s="136"/>
      <c r="AF48" s="136"/>
      <c r="AG48" s="136">
        <f>4506.07521299438+'[10]Прил 10 коррект'!P57-AG53</f>
        <v>0</v>
      </c>
      <c r="AH48" s="136"/>
      <c r="AI48" s="136"/>
      <c r="AJ48" s="136">
        <f>0+'[10]Прил 10 коррект'!Q57-AJ53</f>
        <v>0</v>
      </c>
      <c r="AK48" s="136"/>
      <c r="AL48" s="136"/>
      <c r="AM48" s="136">
        <f>0+'[10]Прил 10 коррект'!R57-AM53</f>
        <v>0</v>
      </c>
      <c r="AN48" s="136"/>
      <c r="AO48" s="136"/>
      <c r="AP48" s="136">
        <f>0+'[10]Прил 10 коррект'!S57-AP53</f>
        <v>0</v>
      </c>
      <c r="AQ48" s="136"/>
      <c r="AR48" s="136"/>
      <c r="AS48" s="136">
        <f>0+'[10]Прил 10 коррект'!T57-AS53</f>
        <v>0</v>
      </c>
      <c r="AT48" s="136"/>
      <c r="AU48" s="136"/>
      <c r="AV48" s="136">
        <f>0+'[10]Прил 10 коррект'!U57-AV53</f>
        <v>0</v>
      </c>
      <c r="AW48" s="136"/>
      <c r="AX48" s="136"/>
      <c r="AY48" s="136">
        <f>0-AY53</f>
        <v>0</v>
      </c>
      <c r="AZ48" s="136"/>
      <c r="BA48" s="136"/>
      <c r="BB48" s="136">
        <f>0-BB53</f>
        <v>0</v>
      </c>
      <c r="BC48" s="136"/>
      <c r="BD48" s="136"/>
      <c r="BE48" s="136">
        <f>0-BE53</f>
        <v>0</v>
      </c>
      <c r="BF48" s="136"/>
      <c r="BG48" s="136"/>
      <c r="BH48" s="136">
        <f>0-BH53</f>
        <v>0</v>
      </c>
      <c r="BI48" s="136"/>
      <c r="BJ48" s="136"/>
      <c r="BK48" s="136">
        <f>0-BK53</f>
        <v>0</v>
      </c>
      <c r="BL48" s="136"/>
      <c r="BM48" s="136"/>
      <c r="BN48" s="136">
        <f>0-BN53</f>
        <v>0</v>
      </c>
      <c r="BO48" s="136"/>
      <c r="BP48" s="136"/>
      <c r="BQ48" s="136">
        <f>0-BQ53</f>
        <v>0</v>
      </c>
      <c r="BR48" s="136"/>
      <c r="BS48" s="136"/>
      <c r="BT48" s="135">
        <f t="shared" si="146"/>
        <v>29566.404389561532</v>
      </c>
      <c r="BU48" s="136">
        <v>2186.7867760377299</v>
      </c>
      <c r="BV48" s="136">
        <v>6872.4592199999997</v>
      </c>
      <c r="BW48" s="136">
        <v>0</v>
      </c>
      <c r="BX48" s="136">
        <v>1991.0670877177299</v>
      </c>
      <c r="BY48" s="136"/>
      <c r="BZ48" s="136"/>
      <c r="CA48" s="136">
        <v>2209.9276532731201</v>
      </c>
      <c r="CB48" s="136"/>
      <c r="CC48" s="136"/>
      <c r="CD48" s="136">
        <f>2449.29246733268+'[10]Прил 10 коррект'!J60-CD53</f>
        <v>162.44516377616219</v>
      </c>
      <c r="CE48" s="136"/>
      <c r="CF48" s="136"/>
      <c r="CG48" s="136">
        <f>2717.85354828405+'[10]Прил 10 коррект'!K60-CG53</f>
        <v>2771.1562951420101</v>
      </c>
      <c r="CH48" s="136"/>
      <c r="CI48" s="136"/>
      <c r="CJ48" s="136">
        <f>3010.03908946849+'[10]Прил 10 коррект'!L60-CJ53</f>
        <v>7259.9049122737706</v>
      </c>
      <c r="CK48" s="136"/>
      <c r="CL48" s="136"/>
      <c r="CM48" s="136">
        <f>3192.12573107618+'[10]Прил 10 коррект'!M60-CM53</f>
        <v>6112.6572813410112</v>
      </c>
      <c r="CN48" s="136"/>
      <c r="CO48" s="136"/>
      <c r="CP48" s="136">
        <f>3674.19844319055+'[10]Прил 10 коррект'!N60-CP53</f>
        <v>0</v>
      </c>
      <c r="CQ48" s="136"/>
      <c r="CR48" s="136"/>
      <c r="CS48" s="136">
        <v>0</v>
      </c>
      <c r="CT48" s="136"/>
      <c r="CU48" s="136"/>
      <c r="CV48" s="136">
        <f>0+'[10]Прил 10 коррект'!P60-CV53</f>
        <v>0</v>
      </c>
      <c r="CW48" s="136"/>
      <c r="CX48" s="136"/>
      <c r="CY48" s="136">
        <f>0+'[10]Прил 10 коррект'!Q60-CY53</f>
        <v>0</v>
      </c>
      <c r="CZ48" s="136"/>
      <c r="DA48" s="136"/>
      <c r="DB48" s="136">
        <f>0+'[10]Прил 10 коррект'!R60-DB53</f>
        <v>0</v>
      </c>
      <c r="DC48" s="136"/>
      <c r="DD48" s="136"/>
      <c r="DE48" s="136">
        <f>0+'[10]Прил 10 коррект'!S60-DE53</f>
        <v>0</v>
      </c>
      <c r="DF48" s="136"/>
      <c r="DG48" s="136"/>
      <c r="DH48" s="136">
        <f>0+'[10]Прил 10 коррект'!T60-DH53</f>
        <v>0</v>
      </c>
      <c r="DI48" s="136"/>
      <c r="DJ48" s="136"/>
      <c r="DK48" s="136">
        <f>0+'[10]Прил 10 коррект'!U60-DK53</f>
        <v>0</v>
      </c>
      <c r="DL48" s="136"/>
      <c r="DM48" s="136"/>
      <c r="DN48" s="136">
        <f>0-DN53</f>
        <v>0</v>
      </c>
      <c r="DO48" s="136"/>
      <c r="DP48" s="136"/>
      <c r="DQ48" s="136">
        <f>0-DQ53</f>
        <v>0</v>
      </c>
      <c r="DR48" s="136"/>
      <c r="DS48" s="136"/>
      <c r="DT48" s="136">
        <f>0-DT53</f>
        <v>0</v>
      </c>
      <c r="DU48" s="136"/>
      <c r="DV48" s="136"/>
      <c r="DW48" s="136">
        <f>0-DW53</f>
        <v>0</v>
      </c>
      <c r="DX48" s="136"/>
      <c r="DY48" s="136"/>
      <c r="DZ48" s="136">
        <f>0-DZ53</f>
        <v>0</v>
      </c>
      <c r="EA48" s="136"/>
      <c r="EB48" s="136"/>
      <c r="EC48" s="136">
        <f>0-EC53</f>
        <v>0</v>
      </c>
      <c r="ED48" s="136"/>
      <c r="EE48" s="136"/>
      <c r="EF48" s="136">
        <f>0-EF53</f>
        <v>0</v>
      </c>
      <c r="EG48" s="136"/>
      <c r="EH48" s="136"/>
      <c r="EI48" s="170">
        <f t="shared" si="147"/>
        <v>150230.49676490424</v>
      </c>
      <c r="EJ48" s="170"/>
      <c r="EK48" s="170"/>
    </row>
    <row r="49" spans="1:141" s="100" customFormat="1">
      <c r="A49" s="131"/>
      <c r="B49" s="132" t="s">
        <v>420</v>
      </c>
      <c r="C49" s="133" t="s">
        <v>349</v>
      </c>
      <c r="D49" s="134">
        <f t="shared" si="144"/>
        <v>44003.37335915221</v>
      </c>
      <c r="E49" s="135">
        <f t="shared" si="145"/>
        <v>37165.255563332816</v>
      </c>
      <c r="F49" s="136"/>
      <c r="G49" s="136"/>
      <c r="H49" s="136"/>
      <c r="I49" s="136">
        <f>I45-I46-I47-I48</f>
        <v>3301.7667243843998</v>
      </c>
      <c r="J49" s="136"/>
      <c r="K49" s="136"/>
      <c r="L49" s="136">
        <v>8203.6324774904606</v>
      </c>
      <c r="M49" s="136"/>
      <c r="N49" s="136"/>
      <c r="O49" s="136">
        <v>7110.6948151650204</v>
      </c>
      <c r="P49" s="136"/>
      <c r="Q49" s="136"/>
      <c r="R49" s="136">
        <f>4940.75144745888+'[10]Прил 10 коррект'!K56-R54</f>
        <v>8130.1368019026104</v>
      </c>
      <c r="S49" s="136"/>
      <c r="T49" s="136"/>
      <c r="U49" s="136">
        <v>5973.9668442141301</v>
      </c>
      <c r="V49" s="136"/>
      <c r="W49" s="136"/>
      <c r="X49" s="136">
        <f>2983.23885816775+'[10]Прил 10 коррект'!M56-X54</f>
        <v>2836.0471476766998</v>
      </c>
      <c r="Y49" s="136"/>
      <c r="Z49" s="136"/>
      <c r="AA49" s="136">
        <v>1609.0107524994901</v>
      </c>
      <c r="AB49" s="136"/>
      <c r="AC49" s="136"/>
      <c r="AD49" s="136">
        <v>0</v>
      </c>
      <c r="AE49" s="136"/>
      <c r="AF49" s="136"/>
      <c r="AG49" s="136">
        <f>0+'[10]Прил 10 коррект'!P56-AG54</f>
        <v>0</v>
      </c>
      <c r="AH49" s="136"/>
      <c r="AI49" s="136"/>
      <c r="AJ49" s="136">
        <f>0+'[10]Прил 10 коррект'!Q56-AJ54</f>
        <v>0</v>
      </c>
      <c r="AK49" s="136"/>
      <c r="AL49" s="136"/>
      <c r="AM49" s="136">
        <f>0+'[10]Прил 10 коррект'!R56-AM54</f>
        <v>0</v>
      </c>
      <c r="AN49" s="136"/>
      <c r="AO49" s="136"/>
      <c r="AP49" s="136">
        <f>0+'[10]Прил 10 коррект'!S56-AP54</f>
        <v>0</v>
      </c>
      <c r="AQ49" s="136"/>
      <c r="AR49" s="136"/>
      <c r="AS49" s="136">
        <f>0+'[10]Прил 10 коррект'!T56-AS54</f>
        <v>0</v>
      </c>
      <c r="AT49" s="136"/>
      <c r="AU49" s="136"/>
      <c r="AV49" s="136">
        <f>0+'[10]Прил 10 коррект'!U56-AV54</f>
        <v>0</v>
      </c>
      <c r="AW49" s="136"/>
      <c r="AX49" s="136"/>
      <c r="AY49" s="136">
        <f>0-AY54</f>
        <v>0</v>
      </c>
      <c r="AZ49" s="136"/>
      <c r="BA49" s="136"/>
      <c r="BB49" s="136">
        <f>0-BB54</f>
        <v>0</v>
      </c>
      <c r="BC49" s="136"/>
      <c r="BD49" s="136"/>
      <c r="BE49" s="136">
        <f>0-BE54</f>
        <v>0</v>
      </c>
      <c r="BF49" s="136"/>
      <c r="BG49" s="136"/>
      <c r="BH49" s="136">
        <f>0-BH54</f>
        <v>0</v>
      </c>
      <c r="BI49" s="136"/>
      <c r="BJ49" s="136"/>
      <c r="BK49" s="136">
        <f>0-BK54</f>
        <v>0</v>
      </c>
      <c r="BL49" s="136"/>
      <c r="BM49" s="136"/>
      <c r="BN49" s="136">
        <f>0-BN54</f>
        <v>0</v>
      </c>
      <c r="BO49" s="136"/>
      <c r="BP49" s="136"/>
      <c r="BQ49" s="136">
        <f>0-BQ54</f>
        <v>0</v>
      </c>
      <c r="BR49" s="136"/>
      <c r="BS49" s="136"/>
      <c r="BT49" s="135">
        <f t="shared" si="146"/>
        <v>6838.1177958193948</v>
      </c>
      <c r="BU49" s="136"/>
      <c r="BV49" s="136"/>
      <c r="BW49" s="136"/>
      <c r="BX49" s="136">
        <v>4217.316675</v>
      </c>
      <c r="BY49" s="136"/>
      <c r="BZ49" s="136"/>
      <c r="CA49" s="136">
        <v>223.55935775066999</v>
      </c>
      <c r="CB49" s="136"/>
      <c r="CC49" s="136"/>
      <c r="CD49" s="136">
        <f>1603.27387439665+'[10]Прил 10 коррект'!J59-CD54</f>
        <v>2226.9452508320151</v>
      </c>
      <c r="CE49" s="136"/>
      <c r="CF49" s="136"/>
      <c r="CG49" s="136">
        <v>0</v>
      </c>
      <c r="CH49" s="136"/>
      <c r="CI49" s="136"/>
      <c r="CJ49" s="136">
        <f>1117.37052926931+'[10]Прил 10 коррект'!L59-CJ54</f>
        <v>170.29651223670953</v>
      </c>
      <c r="CK49" s="136"/>
      <c r="CL49" s="136"/>
      <c r="CM49" s="136">
        <f>817.745870863331+'[10]Прил 10 коррект'!M59-CM54</f>
        <v>0</v>
      </c>
      <c r="CN49" s="136"/>
      <c r="CO49" s="136"/>
      <c r="CP49" s="136">
        <f>210.355012951572+'[10]Прил 10 коррект'!N59-CP54</f>
        <v>0</v>
      </c>
      <c r="CQ49" s="136"/>
      <c r="CR49" s="136"/>
      <c r="CS49" s="136">
        <f>0+'[10]Прил 10 коррект'!O59-CS54</f>
        <v>0</v>
      </c>
      <c r="CT49" s="136"/>
      <c r="CU49" s="136"/>
      <c r="CV49" s="136">
        <f>0+'[10]Прил 10 коррект'!P59-CV54</f>
        <v>0</v>
      </c>
      <c r="CW49" s="136"/>
      <c r="CX49" s="136"/>
      <c r="CY49" s="136">
        <f>0+'[10]Прил 10 коррект'!Q59-CY54</f>
        <v>0</v>
      </c>
      <c r="CZ49" s="136"/>
      <c r="DA49" s="136"/>
      <c r="DB49" s="136">
        <f>0+'[10]Прил 10 коррект'!R59-DB54</f>
        <v>0</v>
      </c>
      <c r="DC49" s="136"/>
      <c r="DD49" s="136"/>
      <c r="DE49" s="136">
        <f>0+'[10]Прил 10 коррект'!S59-DE54</f>
        <v>0</v>
      </c>
      <c r="DF49" s="136"/>
      <c r="DG49" s="136"/>
      <c r="DH49" s="136">
        <f>0+'[10]Прил 10 коррект'!T59-DH54</f>
        <v>0</v>
      </c>
      <c r="DI49" s="136"/>
      <c r="DJ49" s="136"/>
      <c r="DK49" s="136">
        <f>0+'[10]Прил 10 коррект'!U59-DK54</f>
        <v>0</v>
      </c>
      <c r="DL49" s="136"/>
      <c r="DM49" s="136"/>
      <c r="DN49" s="136">
        <f>0-DN54</f>
        <v>0</v>
      </c>
      <c r="DO49" s="136"/>
      <c r="DP49" s="136"/>
      <c r="DQ49" s="136">
        <f>0-DQ54</f>
        <v>0</v>
      </c>
      <c r="DR49" s="136"/>
      <c r="DS49" s="136"/>
      <c r="DT49" s="136">
        <f>0-DT54</f>
        <v>0</v>
      </c>
      <c r="DU49" s="136"/>
      <c r="DV49" s="136"/>
      <c r="DW49" s="136">
        <f>0-DW54</f>
        <v>0</v>
      </c>
      <c r="DX49" s="136"/>
      <c r="DY49" s="136"/>
      <c r="DZ49" s="136">
        <f>0-DZ54</f>
        <v>0</v>
      </c>
      <c r="EA49" s="136"/>
      <c r="EB49" s="136"/>
      <c r="EC49" s="136">
        <f>0-EC54</f>
        <v>0</v>
      </c>
      <c r="ED49" s="136"/>
      <c r="EE49" s="136"/>
      <c r="EF49" s="136">
        <f>0-EF54</f>
        <v>0</v>
      </c>
      <c r="EG49" s="136"/>
      <c r="EH49" s="136"/>
      <c r="EI49" s="170">
        <f t="shared" si="147"/>
        <v>44003.37335915221</v>
      </c>
      <c r="EJ49" s="170"/>
      <c r="EK49" s="170"/>
    </row>
    <row r="50" spans="1:141">
      <c r="A50" s="125" t="s">
        <v>315</v>
      </c>
      <c r="B50" s="126" t="s">
        <v>422</v>
      </c>
      <c r="C50" s="122" t="s">
        <v>349</v>
      </c>
      <c r="D50" s="128">
        <f t="shared" ref="D50:I50" si="148">D51+D55+D54</f>
        <v>344138.22517437214</v>
      </c>
      <c r="E50" s="123">
        <f t="shared" si="148"/>
        <v>182035.00075754384</v>
      </c>
      <c r="F50" s="124">
        <f t="shared" si="148"/>
        <v>23177.207774843118</v>
      </c>
      <c r="G50" s="124">
        <f t="shared" si="148"/>
        <v>17803.6791056947</v>
      </c>
      <c r="H50" s="124">
        <f t="shared" si="148"/>
        <v>2239.4013513700611</v>
      </c>
      <c r="I50" s="124">
        <f t="shared" si="148"/>
        <v>-6423.5928199999707</v>
      </c>
      <c r="J50" s="124"/>
      <c r="K50" s="124"/>
      <c r="L50" s="124">
        <f>L51+L55+L54</f>
        <v>283.82172004515002</v>
      </c>
      <c r="M50" s="124"/>
      <c r="N50" s="124"/>
      <c r="O50" s="124">
        <f>O51+O55+O54</f>
        <v>294.03930196677544</v>
      </c>
      <c r="P50" s="124"/>
      <c r="Q50" s="124"/>
      <c r="R50" s="124">
        <f>R51+R55+R54</f>
        <v>304.62471683757934</v>
      </c>
      <c r="S50" s="124"/>
      <c r="T50" s="124"/>
      <c r="U50" s="124">
        <f>U51+U55+U54</f>
        <v>3973.7187426237524</v>
      </c>
      <c r="V50" s="124"/>
      <c r="W50" s="124"/>
      <c r="X50" s="124">
        <f>X51+X55+X54</f>
        <v>5515.6565780466563</v>
      </c>
      <c r="Y50" s="124"/>
      <c r="Z50" s="124"/>
      <c r="AA50" s="124">
        <f>AA51+AA55+AA54</f>
        <v>4726.0092278186012</v>
      </c>
      <c r="AB50" s="124"/>
      <c r="AC50" s="124"/>
      <c r="AD50" s="124">
        <f>AD51+AD55+AD54</f>
        <v>12553.999735123143</v>
      </c>
      <c r="AE50" s="124"/>
      <c r="AF50" s="124"/>
      <c r="AG50" s="124">
        <f>AG51+AG55+AG54</f>
        <v>29639.139927452794</v>
      </c>
      <c r="AH50" s="124"/>
      <c r="AI50" s="124"/>
      <c r="AJ50" s="124">
        <f>AJ51+AJ55+AJ54</f>
        <v>22223.73341567663</v>
      </c>
      <c r="AK50" s="124"/>
      <c r="AL50" s="124"/>
      <c r="AM50" s="124">
        <f>AM51+AM55+AM54</f>
        <v>17938.415892756551</v>
      </c>
      <c r="AN50" s="124"/>
      <c r="AO50" s="124"/>
      <c r="AP50" s="124">
        <f>AP51+AP55+AP54</f>
        <v>13455.167629550293</v>
      </c>
      <c r="AQ50" s="124"/>
      <c r="AR50" s="124"/>
      <c r="AS50" s="124">
        <f>AS51+AS55+AS54</f>
        <v>11296.224802913872</v>
      </c>
      <c r="AT50" s="124"/>
      <c r="AU50" s="124"/>
      <c r="AV50" s="124">
        <f>AV51+AV55+AV54</f>
        <v>9114.9492827810609</v>
      </c>
      <c r="AW50" s="124"/>
      <c r="AX50" s="124"/>
      <c r="AY50" s="124">
        <f>AY51+AY55+AY54</f>
        <v>6855.4244456039232</v>
      </c>
      <c r="AZ50" s="124"/>
      <c r="BA50" s="124"/>
      <c r="BB50" s="124">
        <f>BB51+BB55+BB54</f>
        <v>465.67422815788149</v>
      </c>
      <c r="BC50" s="124"/>
      <c r="BD50" s="124"/>
      <c r="BE50" s="124">
        <f>BE51+BE55+BE54</f>
        <v>4487.908080131665</v>
      </c>
      <c r="BF50" s="124"/>
      <c r="BG50" s="124"/>
      <c r="BH50" s="124">
        <f>BH51+BH55+BH54</f>
        <v>499.80628638494159</v>
      </c>
      <c r="BI50" s="124"/>
      <c r="BJ50" s="124"/>
      <c r="BK50" s="124">
        <f>BK51+BK55+BK54</f>
        <v>517.79931269479948</v>
      </c>
      <c r="BL50" s="124"/>
      <c r="BM50" s="124"/>
      <c r="BN50" s="124">
        <f>BN51+BN55+BN54</f>
        <v>536.4400879518123</v>
      </c>
      <c r="BO50" s="124"/>
      <c r="BP50" s="124"/>
      <c r="BQ50" s="124">
        <f t="shared" ref="BQ50:BX50" si="149">BQ51+BQ55+BQ54</f>
        <v>555.75193111807755</v>
      </c>
      <c r="BR50" s="124"/>
      <c r="BS50" s="124"/>
      <c r="BT50" s="160">
        <f t="shared" si="149"/>
        <v>162103.22441682831</v>
      </c>
      <c r="BU50" s="124">
        <f t="shared" si="149"/>
        <v>7060.7561801689335</v>
      </c>
      <c r="BV50" s="124">
        <f t="shared" si="149"/>
        <v>12714.63679737112</v>
      </c>
      <c r="BW50" s="124">
        <f t="shared" si="149"/>
        <v>-5587.3563347033696</v>
      </c>
      <c r="BX50" s="124">
        <f t="shared" si="149"/>
        <v>-2028.2653400000299</v>
      </c>
      <c r="BY50" s="124"/>
      <c r="BZ50" s="124"/>
      <c r="CA50" s="124">
        <f>CA51+CA55+CA54</f>
        <v>221.42626738889999</v>
      </c>
      <c r="CB50" s="124"/>
      <c r="CC50" s="124"/>
      <c r="CD50" s="124">
        <f>CD51+CD55+CD54</f>
        <v>3188.8341038515205</v>
      </c>
      <c r="CE50" s="124"/>
      <c r="CF50" s="124"/>
      <c r="CG50" s="124">
        <f>CG51+CG55+CG54</f>
        <v>5123.4569798062676</v>
      </c>
      <c r="CH50" s="124"/>
      <c r="CI50" s="124"/>
      <c r="CJ50" s="124">
        <f>CJ51+CJ55+CJ54</f>
        <v>3904.3390764384608</v>
      </c>
      <c r="CK50" s="124"/>
      <c r="CL50" s="124"/>
      <c r="CM50" s="124">
        <f>CM51+CM55+CM54</f>
        <v>5443.7792438786837</v>
      </c>
      <c r="CN50" s="124"/>
      <c r="CO50" s="124"/>
      <c r="CP50" s="124">
        <f>CP51+CP55+CP54</f>
        <v>10978.121583517512</v>
      </c>
      <c r="CQ50" s="124"/>
      <c r="CR50" s="124"/>
      <c r="CS50" s="124">
        <f>CS51+CS55+CS54</f>
        <v>9764.329017518985</v>
      </c>
      <c r="CT50" s="124"/>
      <c r="CU50" s="124"/>
      <c r="CV50" s="124">
        <f>CV51+CV55+CV54</f>
        <v>13445.901313692142</v>
      </c>
      <c r="CW50" s="124"/>
      <c r="CX50" s="124"/>
      <c r="CY50" s="124">
        <f>CY51+CY55+CY54</f>
        <v>21539.019409938443</v>
      </c>
      <c r="CZ50" s="124"/>
      <c r="DA50" s="124"/>
      <c r="DB50" s="124">
        <f>DB51+DB55+DB54</f>
        <v>18360.006311339599</v>
      </c>
      <c r="DC50" s="124"/>
      <c r="DD50" s="124"/>
      <c r="DE50" s="124">
        <f>DE51+DE55+DE54</f>
        <v>14993.420284534433</v>
      </c>
      <c r="DF50" s="124"/>
      <c r="DG50" s="124"/>
      <c r="DH50" s="124">
        <f>DH51+DH55+DH54</f>
        <v>13382.098201392246</v>
      </c>
      <c r="DI50" s="124"/>
      <c r="DJ50" s="124"/>
      <c r="DK50" s="124">
        <f>DK51+DK55+DK54</f>
        <v>11760.231086592796</v>
      </c>
      <c r="DL50" s="124"/>
      <c r="DM50" s="124"/>
      <c r="DN50" s="124">
        <f>DN51+DN55+DN54</f>
        <v>10091.225025120135</v>
      </c>
      <c r="DO50" s="124"/>
      <c r="DP50" s="124"/>
      <c r="DQ50" s="124">
        <f>DQ51+DQ55+DQ54</f>
        <v>4489.697061678622</v>
      </c>
      <c r="DR50" s="124"/>
      <c r="DS50" s="124"/>
      <c r="DT50" s="124">
        <f>DT51+DT55+DT54</f>
        <v>1611.5890747408946</v>
      </c>
      <c r="DU50" s="124"/>
      <c r="DV50" s="124"/>
      <c r="DW50" s="124">
        <f>DW51+DW55+DW54</f>
        <v>389.92872143160827</v>
      </c>
      <c r="DX50" s="124"/>
      <c r="DY50" s="124"/>
      <c r="DZ50" s="124">
        <f>DZ51+DZ55+DZ54</f>
        <v>403.96615540314616</v>
      </c>
      <c r="EA50" s="124"/>
      <c r="EB50" s="124"/>
      <c r="EC50" s="124">
        <f>EC51+EC55+EC54</f>
        <v>418.50893699765942</v>
      </c>
      <c r="ED50" s="124"/>
      <c r="EE50" s="124"/>
      <c r="EF50" s="124">
        <f>EF51+EF55+EF54</f>
        <v>433.57525872957518</v>
      </c>
      <c r="EG50" s="124"/>
      <c r="EH50" s="124"/>
      <c r="EK50" s="152"/>
    </row>
    <row r="51" spans="1:141">
      <c r="A51" s="125" t="s">
        <v>423</v>
      </c>
      <c r="B51" s="126" t="s">
        <v>424</v>
      </c>
      <c r="C51" s="122" t="s">
        <v>349</v>
      </c>
      <c r="D51" s="128">
        <f t="shared" ref="D51:D57" si="150">E51+BT51</f>
        <v>278171.60611134395</v>
      </c>
      <c r="E51" s="129">
        <f t="shared" ref="E51:E57" si="151">SUM(F51:BS51)</f>
        <v>136908.47694658855</v>
      </c>
      <c r="F51" s="124">
        <f t="shared" ref="F51:I51" si="152">SUM(F52:F53)</f>
        <v>5749.4992351487099</v>
      </c>
      <c r="G51" s="124">
        <f t="shared" si="152"/>
        <v>8714.5452868676402</v>
      </c>
      <c r="H51" s="124">
        <f t="shared" si="152"/>
        <v>4414.8731639784301</v>
      </c>
      <c r="I51" s="124">
        <f t="shared" si="152"/>
        <v>0</v>
      </c>
      <c r="J51" s="124"/>
      <c r="K51" s="124"/>
      <c r="L51" s="124">
        <f>SUM(L52:L53)</f>
        <v>0</v>
      </c>
      <c r="M51" s="124"/>
      <c r="N51" s="124"/>
      <c r="O51" s="124">
        <f>SUM(O52:O53)</f>
        <v>0</v>
      </c>
      <c r="P51" s="124"/>
      <c r="Q51" s="124"/>
      <c r="R51" s="124">
        <f>SUM(R52:R53)</f>
        <v>0</v>
      </c>
      <c r="S51" s="124"/>
      <c r="T51" s="124"/>
      <c r="U51" s="124">
        <f>SUM(U52:U53)</f>
        <v>0</v>
      </c>
      <c r="V51" s="124"/>
      <c r="W51" s="124"/>
      <c r="X51" s="124">
        <f>SUM(X52:X53)</f>
        <v>0</v>
      </c>
      <c r="Y51" s="124"/>
      <c r="Z51" s="124"/>
      <c r="AA51" s="124">
        <f>SUM(AA52:AA53)</f>
        <v>0</v>
      </c>
      <c r="AB51" s="124"/>
      <c r="AC51" s="124"/>
      <c r="AD51" s="124">
        <f>SUM(AD52:AD53)</f>
        <v>8738.5440074363796</v>
      </c>
      <c r="AE51" s="124"/>
      <c r="AF51" s="124"/>
      <c r="AG51" s="124">
        <f>SUM(AG52:AG53)</f>
        <v>27114.941961090102</v>
      </c>
      <c r="AH51" s="124"/>
      <c r="AI51" s="124"/>
      <c r="AJ51" s="124">
        <f>SUM(AJ52:AJ53)</f>
        <v>21607.023800147868</v>
      </c>
      <c r="AK51" s="124"/>
      <c r="AL51" s="124"/>
      <c r="AM51" s="124">
        <f>SUM(AM52:AM53)</f>
        <v>17548.219341690739</v>
      </c>
      <c r="AN51" s="124"/>
      <c r="AO51" s="124"/>
      <c r="AP51" s="124">
        <f>SUM(AP52:AP53)</f>
        <v>13050.924002646112</v>
      </c>
      <c r="AQ51" s="124"/>
      <c r="AR51" s="124"/>
      <c r="AS51" s="124">
        <f>SUM(AS52:AS53)</f>
        <v>10877.42840544114</v>
      </c>
      <c r="AT51" s="124"/>
      <c r="AU51" s="124"/>
      <c r="AV51" s="124">
        <f>SUM(AV52:AV53)</f>
        <v>8681.0762149993097</v>
      </c>
      <c r="AW51" s="124"/>
      <c r="AX51" s="124"/>
      <c r="AY51" s="124">
        <f>SUM(AY52:AY53)</f>
        <v>6405.9319473820296</v>
      </c>
      <c r="AZ51" s="124"/>
      <c r="BA51" s="124"/>
      <c r="BB51" s="124">
        <f>SUM(BB52:BB53)</f>
        <v>0</v>
      </c>
      <c r="BC51" s="124"/>
      <c r="BD51" s="124"/>
      <c r="BE51" s="124">
        <f>SUM(BE52:BE53)</f>
        <v>4005.4695797600998</v>
      </c>
      <c r="BF51" s="124"/>
      <c r="BG51" s="124"/>
      <c r="BH51" s="124">
        <f>SUM(BH52:BH53)</f>
        <v>0</v>
      </c>
      <c r="BI51" s="124"/>
      <c r="BJ51" s="124"/>
      <c r="BK51" s="124">
        <f>SUM(BK52:BK53)</f>
        <v>0</v>
      </c>
      <c r="BL51" s="124"/>
      <c r="BM51" s="124"/>
      <c r="BN51" s="124">
        <f>SUM(BN52:BN53)</f>
        <v>0</v>
      </c>
      <c r="BO51" s="124"/>
      <c r="BP51" s="124"/>
      <c r="BQ51" s="124">
        <f t="shared" ref="BQ51:BX51" si="153">SUM(BQ52:BQ53)</f>
        <v>0</v>
      </c>
      <c r="BR51" s="124"/>
      <c r="BS51" s="124"/>
      <c r="BT51" s="129">
        <f t="shared" ref="BT51:BT57" si="154">SUM(BU51:EH51)</f>
        <v>141263.1291647554</v>
      </c>
      <c r="BU51" s="124">
        <f t="shared" si="153"/>
        <v>0</v>
      </c>
      <c r="BV51" s="124">
        <f t="shared" si="153"/>
        <v>3621.57166228491</v>
      </c>
      <c r="BW51" s="124">
        <f t="shared" si="153"/>
        <v>8670.8395526882396</v>
      </c>
      <c r="BX51" s="124">
        <f t="shared" si="153"/>
        <v>0</v>
      </c>
      <c r="BY51" s="124"/>
      <c r="BZ51" s="124"/>
      <c r="CA51" s="124">
        <f>SUM(CA52:CA53)</f>
        <v>0</v>
      </c>
      <c r="CB51" s="124"/>
      <c r="CC51" s="124"/>
      <c r="CD51" s="124">
        <f>SUM(CD52:CD53)</f>
        <v>2959.4364908366201</v>
      </c>
      <c r="CE51" s="124"/>
      <c r="CF51" s="124"/>
      <c r="CG51" s="124">
        <f>SUM(CG52:CG53)</f>
        <v>1974.1345024242901</v>
      </c>
      <c r="CH51" s="124"/>
      <c r="CI51" s="124"/>
      <c r="CJ51" s="124">
        <f>SUM(CJ52:CJ53)</f>
        <v>0</v>
      </c>
      <c r="CK51" s="124"/>
      <c r="CL51" s="124"/>
      <c r="CM51" s="124">
        <f>SUM(CM52:CM53)</f>
        <v>1944.5158341323299</v>
      </c>
      <c r="CN51" s="124"/>
      <c r="CO51" s="124"/>
      <c r="CP51" s="124">
        <f>SUM(CP52:CP53)</f>
        <v>8539.2458275877107</v>
      </c>
      <c r="CQ51" s="124"/>
      <c r="CR51" s="124"/>
      <c r="CS51" s="124">
        <f>SUM(CS52:CS53)</f>
        <v>7988.4744930434799</v>
      </c>
      <c r="CT51" s="124"/>
      <c r="CU51" s="124"/>
      <c r="CV51" s="124">
        <f>SUM(CV52:CV53)</f>
        <v>12122.370529530821</v>
      </c>
      <c r="CW51" s="124"/>
      <c r="CX51" s="124"/>
      <c r="CY51" s="124">
        <f>SUM(CY52:CY53)</f>
        <v>21129.637060205707</v>
      </c>
      <c r="CZ51" s="124"/>
      <c r="DA51" s="124"/>
      <c r="DB51" s="124">
        <f>SUM(DB52:DB53)</f>
        <v>18055.590687909578</v>
      </c>
      <c r="DC51" s="124"/>
      <c r="DD51" s="124"/>
      <c r="DE51" s="124">
        <f>SUM(DE52:DE53)</f>
        <v>14678.045698660932</v>
      </c>
      <c r="DF51" s="124"/>
      <c r="DG51" s="124"/>
      <c r="DH51" s="124">
        <f>SUM(DH52:DH53)</f>
        <v>13055.370130427298</v>
      </c>
      <c r="DI51" s="124"/>
      <c r="DJ51" s="124"/>
      <c r="DK51" s="124">
        <f>SUM(DK52:DK53)</f>
        <v>11421.74080507311</v>
      </c>
      <c r="DL51" s="124"/>
      <c r="DM51" s="124"/>
      <c r="DN51" s="124">
        <f>SUM(DN52:DN53)</f>
        <v>9740.549093465741</v>
      </c>
      <c r="DO51" s="124"/>
      <c r="DP51" s="124"/>
      <c r="DQ51" s="124">
        <f>SUM(DQ52:DQ53)</f>
        <v>4126.3967964846697</v>
      </c>
      <c r="DR51" s="124"/>
      <c r="DS51" s="124"/>
      <c r="DT51" s="124">
        <f>SUM(DT52:DT53)</f>
        <v>1235.20999999996</v>
      </c>
      <c r="DU51" s="124"/>
      <c r="DV51" s="124"/>
      <c r="DW51" s="124">
        <f>SUM(DW52:DW53)</f>
        <v>0</v>
      </c>
      <c r="DX51" s="124"/>
      <c r="DY51" s="124"/>
      <c r="DZ51" s="124">
        <f>SUM(DZ52:DZ53)</f>
        <v>0</v>
      </c>
      <c r="EA51" s="124"/>
      <c r="EB51" s="124"/>
      <c r="EC51" s="124">
        <f>SUM(EC52:EC53)</f>
        <v>0</v>
      </c>
      <c r="ED51" s="124"/>
      <c r="EE51" s="124"/>
      <c r="EF51" s="124">
        <f>SUM(EF52:EF53)</f>
        <v>0</v>
      </c>
      <c r="EG51" s="124"/>
      <c r="EH51" s="124"/>
      <c r="EK51" s="152"/>
    </row>
    <row r="52" spans="1:141" s="100" customFormat="1">
      <c r="A52" s="131"/>
      <c r="B52" s="132" t="s">
        <v>658</v>
      </c>
      <c r="C52" s="133" t="s">
        <v>349</v>
      </c>
      <c r="D52" s="134">
        <f t="shared" si="150"/>
        <v>182001.3927762481</v>
      </c>
      <c r="E52" s="135">
        <f t="shared" si="151"/>
        <v>82041.275179383912</v>
      </c>
      <c r="F52" s="136">
        <v>0</v>
      </c>
      <c r="G52" s="136">
        <v>0</v>
      </c>
      <c r="H52" s="136">
        <v>0</v>
      </c>
      <c r="I52" s="136">
        <v>0</v>
      </c>
      <c r="J52" s="136"/>
      <c r="K52" s="136"/>
      <c r="L52" s="136">
        <v>0</v>
      </c>
      <c r="M52" s="136"/>
      <c r="N52" s="136"/>
      <c r="O52" s="136">
        <v>0</v>
      </c>
      <c r="P52" s="136"/>
      <c r="Q52" s="136"/>
      <c r="R52" s="136">
        <v>0</v>
      </c>
      <c r="S52" s="136"/>
      <c r="T52" s="136"/>
      <c r="U52" s="136">
        <v>0</v>
      </c>
      <c r="V52" s="136"/>
      <c r="W52" s="136"/>
      <c r="X52" s="136">
        <v>0</v>
      </c>
      <c r="Y52" s="136"/>
      <c r="Z52" s="136"/>
      <c r="AA52" s="136">
        <v>0</v>
      </c>
      <c r="AB52" s="136"/>
      <c r="AC52" s="136"/>
      <c r="AD52" s="136">
        <v>0</v>
      </c>
      <c r="AE52" s="136"/>
      <c r="AF52" s="136"/>
      <c r="AG52" s="136">
        <v>2392.2757607365002</v>
      </c>
      <c r="AH52" s="136"/>
      <c r="AI52" s="136"/>
      <c r="AJ52" s="136">
        <f>15596.018630728+3483.93129599998</f>
        <v>19079.949926727979</v>
      </c>
      <c r="AK52" s="136"/>
      <c r="AL52" s="136"/>
      <c r="AM52" s="136">
        <f>12621.2493576907+4926.96998400004</f>
        <v>17548.219341690739</v>
      </c>
      <c r="AN52" s="136"/>
      <c r="AO52" s="136"/>
      <c r="AP52" s="136">
        <f>12848.1364559794+202.787546666712</f>
        <v>13050.924002646112</v>
      </c>
      <c r="AQ52" s="136"/>
      <c r="AR52" s="136"/>
      <c r="AS52" s="136">
        <f>13260.4042454412-4920.71409600009+2537.73825600003</f>
        <v>10877.42840544114</v>
      </c>
      <c r="AT52" s="136"/>
      <c r="AU52" s="136"/>
      <c r="AV52" s="136">
        <v>8681.0762149993097</v>
      </c>
      <c r="AW52" s="136"/>
      <c r="AX52" s="136"/>
      <c r="AY52" s="136">
        <v>6405.9319473820296</v>
      </c>
      <c r="AZ52" s="136"/>
      <c r="BA52" s="136"/>
      <c r="BB52" s="136">
        <v>0</v>
      </c>
      <c r="BC52" s="136"/>
      <c r="BD52" s="136"/>
      <c r="BE52" s="136">
        <v>4005.4695797600998</v>
      </c>
      <c r="BF52" s="136"/>
      <c r="BG52" s="136"/>
      <c r="BH52" s="136"/>
      <c r="BI52" s="136"/>
      <c r="BJ52" s="136"/>
      <c r="BK52" s="136"/>
      <c r="BL52" s="136"/>
      <c r="BM52" s="136"/>
      <c r="BN52" s="136">
        <v>0</v>
      </c>
      <c r="BO52" s="136"/>
      <c r="BP52" s="136"/>
      <c r="BQ52" s="136">
        <v>0</v>
      </c>
      <c r="BR52" s="136"/>
      <c r="BS52" s="136"/>
      <c r="BT52" s="135">
        <f t="shared" si="154"/>
        <v>99960.117596864206</v>
      </c>
      <c r="BU52" s="136">
        <v>0</v>
      </c>
      <c r="BV52" s="136">
        <v>0</v>
      </c>
      <c r="BW52" s="136">
        <v>5341.5634099999997</v>
      </c>
      <c r="BX52" s="136">
        <v>0</v>
      </c>
      <c r="BY52" s="136"/>
      <c r="BZ52" s="136"/>
      <c r="CA52" s="136">
        <v>0</v>
      </c>
      <c r="CB52" s="136"/>
      <c r="CC52" s="136"/>
      <c r="CD52" s="136">
        <v>0</v>
      </c>
      <c r="CE52" s="136"/>
      <c r="CF52" s="136"/>
      <c r="CG52" s="136">
        <v>0</v>
      </c>
      <c r="CH52" s="136"/>
      <c r="CI52" s="136"/>
      <c r="CJ52" s="136">
        <v>0</v>
      </c>
      <c r="CK52" s="136"/>
      <c r="CL52" s="136"/>
      <c r="CM52" s="136">
        <v>0</v>
      </c>
      <c r="CN52" s="136"/>
      <c r="CO52" s="136"/>
      <c r="CP52" s="136">
        <v>0</v>
      </c>
      <c r="CQ52" s="136"/>
      <c r="CR52" s="136"/>
      <c r="CS52" s="136">
        <v>0</v>
      </c>
      <c r="CT52" s="136"/>
      <c r="CU52" s="136"/>
      <c r="CV52" s="136">
        <v>2392.2757607365002</v>
      </c>
      <c r="CW52" s="136"/>
      <c r="CX52" s="136"/>
      <c r="CY52" s="136">
        <f>17291.3440161064+2622.03119800002</f>
        <v>19913.375214106418</v>
      </c>
      <c r="CZ52" s="136"/>
      <c r="DA52" s="136"/>
      <c r="DB52" s="136">
        <f>14307.3539445762+3748.23674333338</f>
        <v>18055.590687909578</v>
      </c>
      <c r="DC52" s="136"/>
      <c r="DD52" s="136"/>
      <c r="DE52" s="136">
        <f>14502.4919113276+175.553787333332</f>
        <v>14678.045698660932</v>
      </c>
      <c r="DF52" s="136"/>
      <c r="DG52" s="136"/>
      <c r="DH52" s="136">
        <f>14859.8790637607-3714.62904266673+1910.12010933333</f>
        <v>13055.370130427298</v>
      </c>
      <c r="DI52" s="136"/>
      <c r="DJ52" s="136"/>
      <c r="DK52" s="136">
        <f>15321.9729890731-7877.19902333329+1967.43226666665+2009.53457266665</f>
        <v>11421.74080507311</v>
      </c>
      <c r="DL52" s="136"/>
      <c r="DM52" s="136"/>
      <c r="DN52" s="136">
        <f>3563.72331213239+6176.82578133335</f>
        <v>9740.549093465741</v>
      </c>
      <c r="DO52" s="136"/>
      <c r="DP52" s="136"/>
      <c r="DQ52" s="136">
        <v>4126.3967964846697</v>
      </c>
      <c r="DR52" s="136"/>
      <c r="DS52" s="136"/>
      <c r="DT52" s="136">
        <v>1235.20999999996</v>
      </c>
      <c r="DU52" s="136"/>
      <c r="DV52" s="136"/>
      <c r="DW52" s="136">
        <v>0</v>
      </c>
      <c r="DX52" s="136"/>
      <c r="DY52" s="136"/>
      <c r="DZ52" s="136">
        <v>0</v>
      </c>
      <c r="EA52" s="136"/>
      <c r="EB52" s="136"/>
      <c r="EC52" s="136">
        <v>0</v>
      </c>
      <c r="ED52" s="136"/>
      <c r="EE52" s="136"/>
      <c r="EF52" s="136">
        <v>0</v>
      </c>
      <c r="EG52" s="136"/>
      <c r="EH52" s="136"/>
      <c r="EI52" s="170">
        <f>BT52+E52</f>
        <v>182001.3927762481</v>
      </c>
      <c r="EJ52" s="170"/>
      <c r="EK52" s="170"/>
    </row>
    <row r="53" spans="1:141" s="100" customFormat="1">
      <c r="A53" s="131"/>
      <c r="B53" s="132" t="s">
        <v>660</v>
      </c>
      <c r="C53" s="133" t="s">
        <v>349</v>
      </c>
      <c r="D53" s="134">
        <f t="shared" si="150"/>
        <v>96170.213335095847</v>
      </c>
      <c r="E53" s="135">
        <f t="shared" si="151"/>
        <v>54867.20176720465</v>
      </c>
      <c r="F53" s="136">
        <v>5749.4992351487099</v>
      </c>
      <c r="G53" s="136">
        <v>8714.5452868676402</v>
      </c>
      <c r="H53" s="136">
        <v>4414.8731639784301</v>
      </c>
      <c r="I53" s="136">
        <v>0</v>
      </c>
      <c r="J53" s="136"/>
      <c r="K53" s="136"/>
      <c r="L53" s="136">
        <v>0</v>
      </c>
      <c r="M53" s="136"/>
      <c r="N53" s="136"/>
      <c r="O53" s="136">
        <v>0</v>
      </c>
      <c r="P53" s="136"/>
      <c r="Q53" s="136"/>
      <c r="R53" s="136">
        <v>0</v>
      </c>
      <c r="S53" s="136"/>
      <c r="T53" s="136"/>
      <c r="U53" s="136">
        <v>0</v>
      </c>
      <c r="V53" s="136"/>
      <c r="W53" s="136"/>
      <c r="X53" s="136">
        <v>0</v>
      </c>
      <c r="Y53" s="136"/>
      <c r="Z53" s="136"/>
      <c r="AA53" s="136">
        <v>0</v>
      </c>
      <c r="AB53" s="136"/>
      <c r="AC53" s="136"/>
      <c r="AD53" s="136">
        <f>3609.76588767148+5128.7781197649</f>
        <v>8738.5440074363796</v>
      </c>
      <c r="AE53" s="136"/>
      <c r="AF53" s="136"/>
      <c r="AG53" s="136">
        <v>24722.6662003536</v>
      </c>
      <c r="AH53" s="136"/>
      <c r="AI53" s="136"/>
      <c r="AJ53" s="136">
        <v>2527.0738734198899</v>
      </c>
      <c r="AK53" s="136"/>
      <c r="AL53" s="136"/>
      <c r="AM53" s="136">
        <v>0</v>
      </c>
      <c r="AN53" s="136"/>
      <c r="AO53" s="136"/>
      <c r="AP53" s="136">
        <v>0</v>
      </c>
      <c r="AQ53" s="136"/>
      <c r="AR53" s="136"/>
      <c r="AS53" s="136">
        <v>0</v>
      </c>
      <c r="AT53" s="136"/>
      <c r="AU53" s="136"/>
      <c r="AV53" s="136">
        <v>0</v>
      </c>
      <c r="AW53" s="136"/>
      <c r="AX53" s="136"/>
      <c r="AY53" s="136">
        <v>0</v>
      </c>
      <c r="AZ53" s="136"/>
      <c r="BA53" s="136"/>
      <c r="BB53" s="136">
        <v>0</v>
      </c>
      <c r="BC53" s="136"/>
      <c r="BD53" s="136"/>
      <c r="BE53" s="136">
        <v>0</v>
      </c>
      <c r="BF53" s="136"/>
      <c r="BG53" s="136"/>
      <c r="BH53" s="136">
        <v>0</v>
      </c>
      <c r="BI53" s="136"/>
      <c r="BJ53" s="136"/>
      <c r="BK53" s="136">
        <v>0</v>
      </c>
      <c r="BL53" s="136"/>
      <c r="BM53" s="136"/>
      <c r="BN53" s="136">
        <v>0</v>
      </c>
      <c r="BO53" s="136"/>
      <c r="BP53" s="136"/>
      <c r="BQ53" s="136">
        <v>0</v>
      </c>
      <c r="BR53" s="136"/>
      <c r="BS53" s="136"/>
      <c r="BT53" s="135">
        <f t="shared" si="154"/>
        <v>41303.01156789119</v>
      </c>
      <c r="BU53" s="136">
        <v>0</v>
      </c>
      <c r="BV53" s="136">
        <v>3621.57166228491</v>
      </c>
      <c r="BW53" s="136">
        <v>3329.2761426882398</v>
      </c>
      <c r="BX53" s="136">
        <v>0</v>
      </c>
      <c r="BY53" s="136"/>
      <c r="BZ53" s="136"/>
      <c r="CA53" s="136">
        <v>0</v>
      </c>
      <c r="CB53" s="136"/>
      <c r="CC53" s="136"/>
      <c r="CD53" s="136">
        <v>2959.4364908366201</v>
      </c>
      <c r="CE53" s="136"/>
      <c r="CF53" s="136"/>
      <c r="CG53" s="136">
        <v>1974.1345024242901</v>
      </c>
      <c r="CH53" s="136"/>
      <c r="CI53" s="136"/>
      <c r="CJ53" s="136">
        <v>0</v>
      </c>
      <c r="CK53" s="136"/>
      <c r="CL53" s="136"/>
      <c r="CM53" s="136">
        <v>1944.5158341323299</v>
      </c>
      <c r="CN53" s="136"/>
      <c r="CO53" s="136"/>
      <c r="CP53" s="136">
        <v>8539.2458275877107</v>
      </c>
      <c r="CQ53" s="136"/>
      <c r="CR53" s="136"/>
      <c r="CS53" s="136">
        <v>7988.4744930434799</v>
      </c>
      <c r="CT53" s="136"/>
      <c r="CU53" s="136"/>
      <c r="CV53" s="136">
        <v>9730.0947687943208</v>
      </c>
      <c r="CW53" s="136"/>
      <c r="CX53" s="136"/>
      <c r="CY53" s="136">
        <v>1216.2618460992901</v>
      </c>
      <c r="CZ53" s="136"/>
      <c r="DA53" s="136"/>
      <c r="DB53" s="136">
        <v>0</v>
      </c>
      <c r="DC53" s="136"/>
      <c r="DD53" s="136"/>
      <c r="DE53" s="136">
        <v>0</v>
      </c>
      <c r="DF53" s="136"/>
      <c r="DG53" s="136"/>
      <c r="DH53" s="136">
        <v>0</v>
      </c>
      <c r="DI53" s="136"/>
      <c r="DJ53" s="136"/>
      <c r="DK53" s="136">
        <v>0</v>
      </c>
      <c r="DL53" s="136"/>
      <c r="DM53" s="136"/>
      <c r="DN53" s="136">
        <v>0</v>
      </c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70">
        <f>E53+BT53</f>
        <v>96170.213335095847</v>
      </c>
      <c r="EJ53" s="170"/>
      <c r="EK53" s="170"/>
    </row>
    <row r="54" spans="1:141">
      <c r="A54" s="125" t="s">
        <v>425</v>
      </c>
      <c r="B54" s="126" t="s">
        <v>661</v>
      </c>
      <c r="C54" s="122" t="s">
        <v>349</v>
      </c>
      <c r="D54" s="128">
        <f t="shared" si="150"/>
        <v>59173.304989208511</v>
      </c>
      <c r="E54" s="129">
        <f t="shared" si="151"/>
        <v>35820.204919044088</v>
      </c>
      <c r="F54" s="124">
        <v>885.25583320261103</v>
      </c>
      <c r="G54" s="124">
        <v>6642.2115008463597</v>
      </c>
      <c r="H54" s="124">
        <v>6671.2136713700702</v>
      </c>
      <c r="I54" s="124">
        <f>5823.91345833333-I49</f>
        <v>2522.14673394893</v>
      </c>
      <c r="J54" s="124"/>
      <c r="K54" s="124"/>
      <c r="L54" s="124">
        <v>0</v>
      </c>
      <c r="M54" s="124"/>
      <c r="N54" s="124"/>
      <c r="O54" s="124">
        <v>0</v>
      </c>
      <c r="P54" s="124"/>
      <c r="Q54" s="124"/>
      <c r="R54" s="124">
        <v>0</v>
      </c>
      <c r="S54" s="124"/>
      <c r="T54" s="124"/>
      <c r="U54" s="124">
        <v>3658.1275359800202</v>
      </c>
      <c r="V54" s="124"/>
      <c r="W54" s="124"/>
      <c r="X54" s="124">
        <v>5188.7040879637498</v>
      </c>
      <c r="Y54" s="124"/>
      <c r="Z54" s="124"/>
      <c r="AA54" s="124">
        <f>3350.79744417109+1036.48900392162</f>
        <v>4387.2864480927101</v>
      </c>
      <c r="AB54" s="124"/>
      <c r="AC54" s="124"/>
      <c r="AD54" s="124">
        <v>3464.5389278907401</v>
      </c>
      <c r="AE54" s="124"/>
      <c r="AF54" s="124"/>
      <c r="AG54" s="124">
        <v>2160.6481617740101</v>
      </c>
      <c r="AH54" s="124"/>
      <c r="AI54" s="124"/>
      <c r="AJ54" s="124">
        <v>240.07201797489</v>
      </c>
      <c r="AK54" s="124"/>
      <c r="AL54" s="124"/>
      <c r="AM54" s="124">
        <v>0</v>
      </c>
      <c r="AN54" s="124"/>
      <c r="AO54" s="124"/>
      <c r="AP54" s="124">
        <v>0</v>
      </c>
      <c r="AQ54" s="124"/>
      <c r="AR54" s="124"/>
      <c r="AS54" s="124">
        <v>0</v>
      </c>
      <c r="AT54" s="124"/>
      <c r="AU54" s="124"/>
      <c r="AV54" s="124">
        <v>0</v>
      </c>
      <c r="AW54" s="124"/>
      <c r="AX54" s="124"/>
      <c r="AY54" s="124">
        <v>0</v>
      </c>
      <c r="AZ54" s="124"/>
      <c r="BA54" s="124"/>
      <c r="BB54" s="124">
        <v>0</v>
      </c>
      <c r="BC54" s="124"/>
      <c r="BD54" s="124"/>
      <c r="BE54" s="124">
        <v>0</v>
      </c>
      <c r="BF54" s="124"/>
      <c r="BG54" s="124"/>
      <c r="BH54" s="124">
        <v>0</v>
      </c>
      <c r="BI54" s="124"/>
      <c r="BJ54" s="124"/>
      <c r="BK54" s="124">
        <v>0</v>
      </c>
      <c r="BL54" s="124"/>
      <c r="BM54" s="124"/>
      <c r="BN54" s="124">
        <v>0</v>
      </c>
      <c r="BO54" s="124"/>
      <c r="BP54" s="124"/>
      <c r="BQ54" s="124">
        <v>0</v>
      </c>
      <c r="BR54" s="124"/>
      <c r="BS54" s="124"/>
      <c r="BT54" s="129">
        <f t="shared" si="154"/>
        <v>23353.100070164419</v>
      </c>
      <c r="BU54" s="124">
        <v>307.87699730586297</v>
      </c>
      <c r="BV54" s="124">
        <v>4002.0456093231301</v>
      </c>
      <c r="BW54" s="124">
        <v>4397.0450952965903</v>
      </c>
      <c r="BX54" s="124">
        <v>0</v>
      </c>
      <c r="BY54" s="124"/>
      <c r="BZ54" s="124"/>
      <c r="CA54" s="124">
        <v>0</v>
      </c>
      <c r="CB54" s="124"/>
      <c r="CC54" s="124"/>
      <c r="CD54" s="124">
        <v>0</v>
      </c>
      <c r="CE54" s="124"/>
      <c r="CF54" s="124"/>
      <c r="CG54" s="124">
        <v>2911.6665502985402</v>
      </c>
      <c r="CH54" s="124"/>
      <c r="CI54" s="124"/>
      <c r="CJ54" s="124">
        <v>3658.1275359800202</v>
      </c>
      <c r="CK54" s="124"/>
      <c r="CL54" s="124"/>
      <c r="CM54" s="124">
        <v>3244.1882538314098</v>
      </c>
      <c r="CN54" s="124"/>
      <c r="CO54" s="124"/>
      <c r="CP54" s="124">
        <v>2174.6178944019198</v>
      </c>
      <c r="CQ54" s="124"/>
      <c r="CR54" s="124"/>
      <c r="CS54" s="124">
        <v>1502.0833799326199</v>
      </c>
      <c r="CT54" s="124"/>
      <c r="CU54" s="124"/>
      <c r="CV54" s="124">
        <v>1039.90387841489</v>
      </c>
      <c r="CW54" s="124"/>
      <c r="CX54" s="124"/>
      <c r="CY54" s="124">
        <v>115.544875379432</v>
      </c>
      <c r="CZ54" s="124"/>
      <c r="DA54" s="124"/>
      <c r="DB54" s="124">
        <v>0</v>
      </c>
      <c r="DC54" s="124"/>
      <c r="DD54" s="124"/>
      <c r="DE54" s="124">
        <v>0</v>
      </c>
      <c r="DF54" s="124"/>
      <c r="DG54" s="124"/>
      <c r="DH54" s="124">
        <v>0</v>
      </c>
      <c r="DI54" s="124"/>
      <c r="DJ54" s="124"/>
      <c r="DK54" s="124">
        <v>0</v>
      </c>
      <c r="DL54" s="124"/>
      <c r="DM54" s="124"/>
      <c r="DN54" s="124">
        <v>0</v>
      </c>
      <c r="DO54" s="124"/>
      <c r="DP54" s="124"/>
      <c r="DQ54" s="124">
        <v>0</v>
      </c>
      <c r="DR54" s="124"/>
      <c r="DS54" s="124"/>
      <c r="DT54" s="124">
        <v>0</v>
      </c>
      <c r="DU54" s="124"/>
      <c r="DV54" s="124"/>
      <c r="DW54" s="124">
        <v>0</v>
      </c>
      <c r="DX54" s="124"/>
      <c r="DY54" s="124"/>
      <c r="DZ54" s="124">
        <v>0</v>
      </c>
      <c r="EA54" s="124"/>
      <c r="EB54" s="124"/>
      <c r="EC54" s="124">
        <v>0</v>
      </c>
      <c r="ED54" s="124"/>
      <c r="EE54" s="124"/>
      <c r="EF54" s="124">
        <v>0</v>
      </c>
      <c r="EG54" s="124"/>
      <c r="EH54" s="124"/>
      <c r="EI54" s="171">
        <f>E54+BT54</f>
        <v>59173.304989208511</v>
      </c>
    </row>
    <row r="55" spans="1:141" ht="60">
      <c r="A55" s="125" t="s">
        <v>662</v>
      </c>
      <c r="B55" s="126" t="s">
        <v>663</v>
      </c>
      <c r="C55" s="122" t="s">
        <v>349</v>
      </c>
      <c r="D55" s="128">
        <f t="shared" si="150"/>
        <v>6793.3140738196853</v>
      </c>
      <c r="E55" s="129">
        <f t="shared" si="151"/>
        <v>9306.3188919112163</v>
      </c>
      <c r="F55" s="124">
        <v>16542.4527064918</v>
      </c>
      <c r="G55" s="124">
        <f>2453.38231798072-6.46000000002095</f>
        <v>2446.9223179806991</v>
      </c>
      <c r="H55" s="124">
        <v>-8846.6854839784392</v>
      </c>
      <c r="I55" s="124">
        <v>-8945.7395539489007</v>
      </c>
      <c r="J55" s="124"/>
      <c r="K55" s="124"/>
      <c r="L55" s="124">
        <v>283.82172004515002</v>
      </c>
      <c r="M55" s="124"/>
      <c r="N55" s="124"/>
      <c r="O55" s="124">
        <f>L55*O$70</f>
        <v>294.03930196677544</v>
      </c>
      <c r="P55" s="124"/>
      <c r="Q55" s="124"/>
      <c r="R55" s="124">
        <f>O55*R$70</f>
        <v>304.62471683757934</v>
      </c>
      <c r="S55" s="124"/>
      <c r="T55" s="124"/>
      <c r="U55" s="124">
        <f>R55*U$70</f>
        <v>315.59120664373222</v>
      </c>
      <c r="V55" s="124"/>
      <c r="W55" s="124"/>
      <c r="X55" s="124">
        <f>U55*X$70</f>
        <v>326.95249008290659</v>
      </c>
      <c r="Y55" s="124"/>
      <c r="Z55" s="124"/>
      <c r="AA55" s="124">
        <f>X55*AA$70</f>
        <v>338.72277972589126</v>
      </c>
      <c r="AB55" s="124"/>
      <c r="AC55" s="124"/>
      <c r="AD55" s="124">
        <f>AA55*AD$70</f>
        <v>350.91679979602333</v>
      </c>
      <c r="AE55" s="124"/>
      <c r="AF55" s="124"/>
      <c r="AG55" s="124">
        <f>AD55*AG$70</f>
        <v>363.54980458868016</v>
      </c>
      <c r="AH55" s="124"/>
      <c r="AI55" s="124"/>
      <c r="AJ55" s="124">
        <f>AG55*AJ$70</f>
        <v>376.63759755387264</v>
      </c>
      <c r="AK55" s="124"/>
      <c r="AL55" s="124"/>
      <c r="AM55" s="124">
        <f>AJ55*AM$70</f>
        <v>390.19655106581206</v>
      </c>
      <c r="AN55" s="124"/>
      <c r="AO55" s="124"/>
      <c r="AP55" s="124">
        <f>AM55*AP$70</f>
        <v>404.24362690418133</v>
      </c>
      <c r="AQ55" s="124"/>
      <c r="AR55" s="124"/>
      <c r="AS55" s="124">
        <f>AP55*AS$70</f>
        <v>418.79639747273188</v>
      </c>
      <c r="AT55" s="124"/>
      <c r="AU55" s="124"/>
      <c r="AV55" s="124">
        <f>AS55*AV$70</f>
        <v>433.87306778175025</v>
      </c>
      <c r="AW55" s="124"/>
      <c r="AX55" s="124"/>
      <c r="AY55" s="124">
        <f>AV55*AY$70</f>
        <v>449.4924982218933</v>
      </c>
      <c r="AZ55" s="124"/>
      <c r="BA55" s="124"/>
      <c r="BB55" s="124">
        <f>AY55*BB$70</f>
        <v>465.67422815788149</v>
      </c>
      <c r="BC55" s="124"/>
      <c r="BD55" s="124"/>
      <c r="BE55" s="124">
        <f>BB55*BE$70</f>
        <v>482.43850037156523</v>
      </c>
      <c r="BF55" s="124"/>
      <c r="BG55" s="124"/>
      <c r="BH55" s="124">
        <f>BE55*BH$70</f>
        <v>499.80628638494159</v>
      </c>
      <c r="BI55" s="124"/>
      <c r="BJ55" s="124"/>
      <c r="BK55" s="124">
        <f>BH55*BK$70</f>
        <v>517.79931269479948</v>
      </c>
      <c r="BL55" s="124"/>
      <c r="BM55" s="124"/>
      <c r="BN55" s="124">
        <f>BK55*BN$70</f>
        <v>536.4400879518123</v>
      </c>
      <c r="BO55" s="124"/>
      <c r="BP55" s="124"/>
      <c r="BQ55" s="124">
        <f>BN55*BQ$70</f>
        <v>555.75193111807755</v>
      </c>
      <c r="BR55" s="124"/>
      <c r="BS55" s="124"/>
      <c r="BT55" s="129">
        <f t="shared" si="154"/>
        <v>-2513.0048180915305</v>
      </c>
      <c r="BU55" s="124">
        <v>6752.8791828630701</v>
      </c>
      <c r="BV55" s="124">
        <v>5091.0195257630803</v>
      </c>
      <c r="BW55" s="124">
        <v>-18655.240982688199</v>
      </c>
      <c r="BX55" s="124">
        <v>-2028.2653400000299</v>
      </c>
      <c r="BY55" s="124"/>
      <c r="BZ55" s="124"/>
      <c r="CA55" s="124">
        <v>221.42626738889999</v>
      </c>
      <c r="CB55" s="124"/>
      <c r="CC55" s="124"/>
      <c r="CD55" s="124">
        <f>CA55*CD$70</f>
        <v>229.3976130149004</v>
      </c>
      <c r="CE55" s="124"/>
      <c r="CF55" s="124"/>
      <c r="CG55" s="124">
        <f>CD55*CG$70</f>
        <v>237.65592708343684</v>
      </c>
      <c r="CH55" s="124"/>
      <c r="CI55" s="124"/>
      <c r="CJ55" s="124">
        <f>CG55*CJ$70</f>
        <v>246.21154045844057</v>
      </c>
      <c r="CK55" s="124"/>
      <c r="CL55" s="124"/>
      <c r="CM55" s="124">
        <f>CJ55*CM$70</f>
        <v>255.07515591494445</v>
      </c>
      <c r="CN55" s="124"/>
      <c r="CO55" s="124"/>
      <c r="CP55" s="124">
        <f>CM55*CP$70</f>
        <v>264.25786152788243</v>
      </c>
      <c r="CQ55" s="124"/>
      <c r="CR55" s="124"/>
      <c r="CS55" s="124">
        <f>CP55*CS$70</f>
        <v>273.77114454288619</v>
      </c>
      <c r="CT55" s="124"/>
      <c r="CU55" s="124"/>
      <c r="CV55" s="124">
        <f>CS55*CV$70</f>
        <v>283.62690574643011</v>
      </c>
      <c r="CW55" s="124"/>
      <c r="CX55" s="124"/>
      <c r="CY55" s="124">
        <f>CV55*CY$70</f>
        <v>293.83747435330162</v>
      </c>
      <c r="CZ55" s="124"/>
      <c r="DA55" s="124"/>
      <c r="DB55" s="124">
        <f>CY55*DB$70</f>
        <v>304.4156234300205</v>
      </c>
      <c r="DC55" s="124"/>
      <c r="DD55" s="124"/>
      <c r="DE55" s="124">
        <f>DB55*DE$70</f>
        <v>315.37458587350125</v>
      </c>
      <c r="DF55" s="124"/>
      <c r="DG55" s="124"/>
      <c r="DH55" s="124">
        <f>DE55*DH$70</f>
        <v>326.72807096494728</v>
      </c>
      <c r="DI55" s="124"/>
      <c r="DJ55" s="124"/>
      <c r="DK55" s="124">
        <f>DH55*DK$70</f>
        <v>338.49028151968537</v>
      </c>
      <c r="DL55" s="124"/>
      <c r="DM55" s="124"/>
      <c r="DN55" s="124">
        <f>DK55*DN$70</f>
        <v>350.67593165439405</v>
      </c>
      <c r="DO55" s="124"/>
      <c r="DP55" s="124"/>
      <c r="DQ55" s="124">
        <f>DN55*DQ$70</f>
        <v>363.30026519395227</v>
      </c>
      <c r="DR55" s="124"/>
      <c r="DS55" s="124"/>
      <c r="DT55" s="124">
        <f>DQ55*DT$70</f>
        <v>376.37907474093458</v>
      </c>
      <c r="DU55" s="124"/>
      <c r="DV55" s="124"/>
      <c r="DW55" s="124">
        <f>DT55*DW$70</f>
        <v>389.92872143160827</v>
      </c>
      <c r="DX55" s="124"/>
      <c r="DY55" s="124"/>
      <c r="DZ55" s="124">
        <f>DW55*DZ$70</f>
        <v>403.96615540314616</v>
      </c>
      <c r="EA55" s="124"/>
      <c r="EB55" s="124"/>
      <c r="EC55" s="124">
        <f>DZ55*EC$70</f>
        <v>418.50893699765942</v>
      </c>
      <c r="ED55" s="124"/>
      <c r="EE55" s="124"/>
      <c r="EF55" s="124">
        <f>EC55*EF$70</f>
        <v>433.57525872957518</v>
      </c>
      <c r="EG55" s="124"/>
      <c r="EH55" s="124"/>
    </row>
    <row r="56" spans="1:141" ht="30">
      <c r="A56" s="125" t="s">
        <v>316</v>
      </c>
      <c r="B56" s="126" t="s">
        <v>664</v>
      </c>
      <c r="C56" s="122" t="s">
        <v>349</v>
      </c>
      <c r="D56" s="128">
        <f t="shared" si="150"/>
        <v>821029.37697658991</v>
      </c>
      <c r="E56" s="129">
        <f t="shared" si="151"/>
        <v>473491.5543042369</v>
      </c>
      <c r="F56" s="124">
        <v>10576.18223</v>
      </c>
      <c r="G56" s="124">
        <v>11893.61339</v>
      </c>
      <c r="H56" s="124">
        <v>13006.800950000001</v>
      </c>
      <c r="I56" s="124">
        <v>13563.067950000001</v>
      </c>
      <c r="J56" s="124"/>
      <c r="K56" s="124"/>
      <c r="L56" s="124">
        <v>15501.044773100301</v>
      </c>
      <c r="M56" s="124"/>
      <c r="N56" s="124"/>
      <c r="O56" s="124">
        <f>(O12+O45-O28-O42)*0.05</f>
        <v>15981.927480247985</v>
      </c>
      <c r="P56" s="124"/>
      <c r="Q56" s="124"/>
      <c r="R56" s="124">
        <f>(R12+R45-R28-R42)*0.05</f>
        <v>16515.627946803663</v>
      </c>
      <c r="S56" s="124"/>
      <c r="T56" s="124"/>
      <c r="U56" s="124">
        <f>(U12+U45-U28-U42)*0.05</f>
        <v>17068.883921568537</v>
      </c>
      <c r="V56" s="124"/>
      <c r="W56" s="124"/>
      <c r="X56" s="124">
        <f>(X12+X45-X28-X42)*0.05</f>
        <v>17642.412420432796</v>
      </c>
      <c r="Y56" s="124"/>
      <c r="Z56" s="124"/>
      <c r="AA56" s="124">
        <f>(AA12+AA45-AA28-AA42)*0.05</f>
        <v>18236.956766990235</v>
      </c>
      <c r="AB56" s="124"/>
      <c r="AC56" s="124"/>
      <c r="AD56" s="124">
        <f>(AD12+AD45-AD28-AD42)*0.05</f>
        <v>18853.287558450873</v>
      </c>
      <c r="AE56" s="124"/>
      <c r="AF56" s="124"/>
      <c r="AG56" s="124">
        <f>(AG12+AG45-AG28-AG42)*0.05</f>
        <v>18891.673834089757</v>
      </c>
      <c r="AH56" s="124"/>
      <c r="AI56" s="124"/>
      <c r="AJ56" s="124">
        <f>(AJ12+AJ45-AJ28-AJ42)*0.05</f>
        <v>19554.003445257324</v>
      </c>
      <c r="AK56" s="124"/>
      <c r="AL56" s="124"/>
      <c r="AM56" s="124">
        <f>(AM12+AM45-AM28-AM42)*0.05</f>
        <v>20240.605134002559</v>
      </c>
      <c r="AN56" s="124"/>
      <c r="AO56" s="124"/>
      <c r="AP56" s="124">
        <f>(AP12+AP45-AP28-AP42)*0.05</f>
        <v>20952.368980780706</v>
      </c>
      <c r="AQ56" s="124"/>
      <c r="AR56" s="124"/>
      <c r="AS56" s="124">
        <f>(AS12+AS45-AS28-AS42)*0.05</f>
        <v>21690.217728397954</v>
      </c>
      <c r="AT56" s="124"/>
      <c r="AU56" s="124"/>
      <c r="AV56" s="124">
        <f>(AV12+AV45-AV28-AV42)*0.05</f>
        <v>22455.107981421737</v>
      </c>
      <c r="AW56" s="124"/>
      <c r="AX56" s="124"/>
      <c r="AY56" s="124">
        <f>(AY12+AY45-AY28-AY42)*0.05</f>
        <v>23248.031449666403</v>
      </c>
      <c r="AZ56" s="124"/>
      <c r="BA56" s="124"/>
      <c r="BB56" s="124">
        <f>(BB12+BB45-BB28-BB42)*0.05</f>
        <v>24070.01623737525</v>
      </c>
      <c r="BC56" s="124"/>
      <c r="BD56" s="124"/>
      <c r="BE56" s="124">
        <f>(BE12+BE45-BE28-BE42)*0.05</f>
        <v>24922.128179779189</v>
      </c>
      <c r="BF56" s="124"/>
      <c r="BG56" s="124"/>
      <c r="BH56" s="124">
        <f>(BH12+BH45-BH28-BH42)*0.05</f>
        <v>25783.853154788259</v>
      </c>
      <c r="BI56" s="124"/>
      <c r="BJ56" s="124"/>
      <c r="BK56" s="124">
        <f>(BK12+BK45-BK28-BK42)*0.05</f>
        <v>26677.17745489044</v>
      </c>
      <c r="BL56" s="124"/>
      <c r="BM56" s="124"/>
      <c r="BN56" s="124">
        <f>(BN12+BN45-BN28-BN42)*0.05</f>
        <v>27603.260609601661</v>
      </c>
      <c r="BO56" s="124"/>
      <c r="BP56" s="124"/>
      <c r="BQ56" s="124">
        <f>(BQ12+BQ45-BQ28-BQ42)*0.05</f>
        <v>28563.304726591185</v>
      </c>
      <c r="BR56" s="124"/>
      <c r="BS56" s="124"/>
      <c r="BT56" s="129">
        <f t="shared" si="154"/>
        <v>347537.82267235301</v>
      </c>
      <c r="BU56" s="124">
        <v>7613.8145000000004</v>
      </c>
      <c r="BV56" s="124">
        <v>8599.1915700000009</v>
      </c>
      <c r="BW56" s="124">
        <v>9143.5538099999994</v>
      </c>
      <c r="BX56" s="124">
        <v>9609.8567800000001</v>
      </c>
      <c r="BY56" s="124"/>
      <c r="BZ56" s="124"/>
      <c r="CA56" s="124">
        <v>10936.3588713915</v>
      </c>
      <c r="CB56" s="124"/>
      <c r="CC56" s="124"/>
      <c r="CD56" s="124">
        <f>(CD12+CD45-CD28-CD42)*0.05</f>
        <v>11517.569378008819</v>
      </c>
      <c r="CE56" s="124"/>
      <c r="CF56" s="124"/>
      <c r="CG56" s="124">
        <f>(CG12+CG45-CG28-CG42)*0.05</f>
        <v>11917.847523348442</v>
      </c>
      <c r="CH56" s="124"/>
      <c r="CI56" s="124"/>
      <c r="CJ56" s="124">
        <v>12332.9521502809</v>
      </c>
      <c r="CK56" s="124"/>
      <c r="CL56" s="124"/>
      <c r="CM56" s="124">
        <f>(CM12+CM45-CM28-CM42)*0.05</f>
        <v>12763.434403658899</v>
      </c>
      <c r="CN56" s="124"/>
      <c r="CO56" s="124"/>
      <c r="CP56" s="124">
        <f>(CP12+CP45-CP28-CP42)*0.05</f>
        <v>13209.86599931907</v>
      </c>
      <c r="CQ56" s="124"/>
      <c r="CR56" s="124"/>
      <c r="CS56" s="124">
        <v>13672.8399953997</v>
      </c>
      <c r="CT56" s="124"/>
      <c r="CU56" s="124"/>
      <c r="CV56" s="124">
        <f>(CV12+CV45-CV28-CV42)*0.05</f>
        <v>13972.677287746807</v>
      </c>
      <c r="CW56" s="124"/>
      <c r="CX56" s="124"/>
      <c r="CY56" s="124">
        <f>(CY12+CY45-CY28-CY42)*0.05</f>
        <v>14470.604660400464</v>
      </c>
      <c r="CZ56" s="124"/>
      <c r="DA56" s="124"/>
      <c r="DB56" s="124">
        <f>(DB12+DB45-DB28-DB42)*0.05</f>
        <v>14986.989817578966</v>
      </c>
      <c r="DC56" s="124"/>
      <c r="DD56" s="124"/>
      <c r="DE56" s="124">
        <f>(DE12+DE45-DE28-DE42)*0.05</f>
        <v>15522.519497984034</v>
      </c>
      <c r="DF56" s="124"/>
      <c r="DG56" s="124"/>
      <c r="DH56" s="124">
        <v>16077.906097933001</v>
      </c>
      <c r="DI56" s="124"/>
      <c r="DJ56" s="124"/>
      <c r="DK56" s="124">
        <f>(DK12+DK45-DK28-DK42)*0.05</f>
        <v>16653.888634488492</v>
      </c>
      <c r="DL56" s="124"/>
      <c r="DM56" s="124"/>
      <c r="DN56" s="124">
        <f>(DN12+DN45-DN28-DN42)*0.05</f>
        <v>17251.233744933288</v>
      </c>
      <c r="DO56" s="124"/>
      <c r="DP56" s="124"/>
      <c r="DQ56" s="124">
        <f>(DQ12+DQ45-DQ28-DQ42)*0.05</f>
        <v>17870.736723968741</v>
      </c>
      <c r="DR56" s="124"/>
      <c r="DS56" s="124"/>
      <c r="DT56" s="124">
        <f>(DT12+DT45-DT28-DT42)*0.05</f>
        <v>18513.222600070188</v>
      </c>
      <c r="DU56" s="124"/>
      <c r="DV56" s="124"/>
      <c r="DW56" s="124">
        <f>(DW12+DW45-DW28-DW42)*0.05</f>
        <v>19173.056657506208</v>
      </c>
      <c r="DX56" s="124"/>
      <c r="DY56" s="124"/>
      <c r="DZ56" s="124">
        <f>(DZ12+DZ45-DZ28-DZ42)*0.05</f>
        <v>19857.383719043388</v>
      </c>
      <c r="EA56" s="124"/>
      <c r="EB56" s="124"/>
      <c r="EC56" s="124">
        <f>(EC12+EC45-EC28-EC42)*0.05</f>
        <v>20567.11647501164</v>
      </c>
      <c r="ED56" s="124"/>
      <c r="EE56" s="124"/>
      <c r="EF56" s="124">
        <f>(EF12+EF45-EF28-EF42)*0.05</f>
        <v>21303.201774280475</v>
      </c>
      <c r="EG56" s="124"/>
      <c r="EH56" s="124"/>
    </row>
    <row r="57" spans="1:141">
      <c r="A57" s="117">
        <v>2</v>
      </c>
      <c r="B57" s="121" t="s">
        <v>428</v>
      </c>
      <c r="C57" s="122" t="s">
        <v>349</v>
      </c>
      <c r="D57" s="128">
        <f t="shared" si="150"/>
        <v>0</v>
      </c>
      <c r="E57" s="129">
        <f t="shared" si="151"/>
        <v>-14470.2744684968</v>
      </c>
      <c r="F57" s="124">
        <v>0</v>
      </c>
      <c r="G57" s="124">
        <v>0</v>
      </c>
      <c r="H57" s="124">
        <v>0</v>
      </c>
      <c r="I57" s="124">
        <v>0</v>
      </c>
      <c r="J57" s="124"/>
      <c r="K57" s="124"/>
      <c r="L57" s="124">
        <v>-14470.2744684968</v>
      </c>
      <c r="M57" s="124"/>
      <c r="N57" s="124"/>
      <c r="O57" s="124">
        <v>0</v>
      </c>
      <c r="P57" s="124"/>
      <c r="Q57" s="124"/>
      <c r="R57" s="124">
        <v>0</v>
      </c>
      <c r="S57" s="124"/>
      <c r="T57" s="124"/>
      <c r="U57" s="124">
        <v>0</v>
      </c>
      <c r="V57" s="124"/>
      <c r="W57" s="124"/>
      <c r="X57" s="124">
        <v>0</v>
      </c>
      <c r="Y57" s="124"/>
      <c r="Z57" s="124"/>
      <c r="AA57" s="124">
        <v>0</v>
      </c>
      <c r="AB57" s="124"/>
      <c r="AC57" s="124"/>
      <c r="AD57" s="124">
        <v>0</v>
      </c>
      <c r="AE57" s="124"/>
      <c r="AF57" s="124"/>
      <c r="AG57" s="124">
        <v>0</v>
      </c>
      <c r="AH57" s="124"/>
      <c r="AI57" s="124"/>
      <c r="AJ57" s="124">
        <v>0</v>
      </c>
      <c r="AK57" s="124"/>
      <c r="AL57" s="124"/>
      <c r="AM57" s="124">
        <v>0</v>
      </c>
      <c r="AN57" s="124"/>
      <c r="AO57" s="124"/>
      <c r="AP57" s="124">
        <v>0</v>
      </c>
      <c r="AQ57" s="124"/>
      <c r="AR57" s="124"/>
      <c r="AS57" s="124">
        <v>0</v>
      </c>
      <c r="AT57" s="124"/>
      <c r="AU57" s="124"/>
      <c r="AV57" s="124">
        <v>0</v>
      </c>
      <c r="AW57" s="124"/>
      <c r="AX57" s="124"/>
      <c r="AY57" s="124">
        <v>0</v>
      </c>
      <c r="AZ57" s="124"/>
      <c r="BA57" s="124"/>
      <c r="BB57" s="124">
        <v>0</v>
      </c>
      <c r="BC57" s="124"/>
      <c r="BD57" s="124"/>
      <c r="BE57" s="124">
        <v>0</v>
      </c>
      <c r="BF57" s="124"/>
      <c r="BG57" s="124"/>
      <c r="BH57" s="124">
        <v>0</v>
      </c>
      <c r="BI57" s="124"/>
      <c r="BJ57" s="124"/>
      <c r="BK57" s="124">
        <v>0</v>
      </c>
      <c r="BL57" s="124"/>
      <c r="BM57" s="124"/>
      <c r="BN57" s="124">
        <v>0</v>
      </c>
      <c r="BO57" s="124"/>
      <c r="BP57" s="124"/>
      <c r="BQ57" s="124">
        <v>0</v>
      </c>
      <c r="BR57" s="124"/>
      <c r="BS57" s="124"/>
      <c r="BT57" s="129">
        <f t="shared" si="154"/>
        <v>14470.2744684968</v>
      </c>
      <c r="BU57" s="124">
        <v>0</v>
      </c>
      <c r="BV57" s="124">
        <v>0</v>
      </c>
      <c r="BW57" s="124">
        <v>0</v>
      </c>
      <c r="BX57" s="124"/>
      <c r="BY57" s="124"/>
      <c r="BZ57" s="124"/>
      <c r="CA57" s="124">
        <v>14470.2744684968</v>
      </c>
      <c r="CB57" s="124"/>
      <c r="CC57" s="124"/>
      <c r="CD57" s="124">
        <v>0</v>
      </c>
      <c r="CE57" s="124"/>
      <c r="CF57" s="124"/>
      <c r="CG57" s="124">
        <v>0</v>
      </c>
      <c r="CH57" s="124"/>
      <c r="CI57" s="124"/>
      <c r="CJ57" s="124">
        <v>0</v>
      </c>
      <c r="CK57" s="124"/>
      <c r="CL57" s="124"/>
      <c r="CM57" s="124">
        <v>0</v>
      </c>
      <c r="CN57" s="124"/>
      <c r="CO57" s="124"/>
      <c r="CP57" s="124">
        <v>0</v>
      </c>
      <c r="CQ57" s="124"/>
      <c r="CR57" s="124"/>
      <c r="CS57" s="124">
        <v>0</v>
      </c>
      <c r="CT57" s="124"/>
      <c r="CU57" s="124"/>
      <c r="CV57" s="124">
        <v>0</v>
      </c>
      <c r="CW57" s="124"/>
      <c r="CX57" s="124"/>
      <c r="CY57" s="124">
        <v>0</v>
      </c>
      <c r="CZ57" s="124"/>
      <c r="DA57" s="124"/>
      <c r="DB57" s="124">
        <v>0</v>
      </c>
      <c r="DC57" s="124"/>
      <c r="DD57" s="124"/>
      <c r="DE57" s="124">
        <v>0</v>
      </c>
      <c r="DF57" s="124"/>
      <c r="DG57" s="124"/>
      <c r="DH57" s="124">
        <v>0</v>
      </c>
      <c r="DI57" s="124"/>
      <c r="DJ57" s="124"/>
      <c r="DK57" s="124">
        <v>0</v>
      </c>
      <c r="DL57" s="124"/>
      <c r="DM57" s="124"/>
      <c r="DN57" s="124">
        <v>0</v>
      </c>
      <c r="DO57" s="124"/>
      <c r="DP57" s="124"/>
      <c r="DQ57" s="124">
        <v>0</v>
      </c>
      <c r="DR57" s="124"/>
      <c r="DS57" s="124"/>
      <c r="DT57" s="124">
        <v>0</v>
      </c>
      <c r="DU57" s="124"/>
      <c r="DV57" s="124"/>
      <c r="DW57" s="124">
        <v>0</v>
      </c>
      <c r="DX57" s="124"/>
      <c r="DY57" s="124"/>
      <c r="DZ57" s="124">
        <v>0</v>
      </c>
      <c r="EA57" s="124"/>
      <c r="EB57" s="124"/>
      <c r="EC57" s="124">
        <v>0</v>
      </c>
      <c r="ED57" s="124"/>
      <c r="EE57" s="124"/>
      <c r="EF57" s="124">
        <v>0</v>
      </c>
      <c r="EG57" s="124"/>
      <c r="EH57" s="124"/>
    </row>
    <row r="58" spans="1:141" ht="28.5">
      <c r="A58" s="137">
        <v>3</v>
      </c>
      <c r="B58" s="138" t="s">
        <v>440</v>
      </c>
      <c r="C58" s="139" t="s">
        <v>349</v>
      </c>
      <c r="D58" s="140">
        <f t="shared" ref="D58:I58" si="155">D12+D45+D50+D56+D57</f>
        <v>17919738.095864512</v>
      </c>
      <c r="E58" s="141">
        <f t="shared" si="155"/>
        <v>10307086.292911623</v>
      </c>
      <c r="F58" s="142">
        <f t="shared" si="155"/>
        <v>295407.66207910184</v>
      </c>
      <c r="G58" s="142">
        <f t="shared" si="155"/>
        <v>306524.90614999982</v>
      </c>
      <c r="H58" s="142">
        <f t="shared" si="155"/>
        <v>315965.16945999995</v>
      </c>
      <c r="I58" s="142">
        <f t="shared" si="155"/>
        <v>308621.26254000008</v>
      </c>
      <c r="J58" s="142">
        <f t="shared" ref="J58:N58" si="156">J60*J63/1.2+J61*J64</f>
        <v>151956.26909166659</v>
      </c>
      <c r="K58" s="142">
        <f t="shared" si="156"/>
        <v>156664.99775833351</v>
      </c>
      <c r="L58" s="142">
        <f>L12+L45+L50+L56+L57</f>
        <v>311406.44291666645</v>
      </c>
      <c r="M58" s="142">
        <f t="shared" si="156"/>
        <v>150685.67670000001</v>
      </c>
      <c r="N58" s="142">
        <f t="shared" si="156"/>
        <v>160720.76621666693</v>
      </c>
      <c r="O58" s="142">
        <f>O12+O45+O50+O56+O57</f>
        <v>335988.02621266613</v>
      </c>
      <c r="P58" s="142">
        <f t="shared" ref="P58:T58" si="157">P60*P63/1.2+P61*P64</f>
        <v>164995.96725000002</v>
      </c>
      <c r="Q58" s="142">
        <f t="shared" si="157"/>
        <v>166622.28104266667</v>
      </c>
      <c r="R58" s="142">
        <f>R12+R45+R50+R56+R57</f>
        <v>347208.96777892386</v>
      </c>
      <c r="S58" s="142">
        <f t="shared" si="157"/>
        <v>171251.13925000001</v>
      </c>
      <c r="T58" s="142">
        <f t="shared" si="157"/>
        <v>172932.39120800002</v>
      </c>
      <c r="U58" s="142">
        <f>U12+U45+U50+U56+U57</f>
        <v>363413.71078121889</v>
      </c>
      <c r="V58" s="142">
        <f t="shared" ref="V58:Z58" si="158">V60*V63/1.2+V61*V64</f>
        <v>177897.25949999999</v>
      </c>
      <c r="W58" s="142">
        <f t="shared" si="158"/>
        <v>179636.88325866667</v>
      </c>
      <c r="X58" s="142">
        <f>X12+X45+X50+X56+X57</f>
        <v>377385.23155164707</v>
      </c>
      <c r="Y58" s="142">
        <f t="shared" si="158"/>
        <v>184969.86875000002</v>
      </c>
      <c r="Z58" s="142">
        <f t="shared" si="158"/>
        <v>186771.61009333335</v>
      </c>
      <c r="AA58" s="142">
        <f>AA12+AA45+AA50+AA56+AA57</f>
        <v>388883.60364156816</v>
      </c>
      <c r="AB58" s="142">
        <v>192504.50774999999</v>
      </c>
      <c r="AC58" s="142">
        <f t="shared" ref="AC58:AF58" si="159">AC60*AC63/1.2+AC61*AC64</f>
        <v>195083.48463666669</v>
      </c>
      <c r="AD58" s="142">
        <f>AD12+AD45+AD50+AD56+AD57</f>
        <v>411611.53839637229</v>
      </c>
      <c r="AE58" s="142">
        <f t="shared" si="159"/>
        <v>201247.53225000005</v>
      </c>
      <c r="AF58" s="142">
        <f t="shared" si="159"/>
        <v>203953.03349666667</v>
      </c>
      <c r="AG58" s="142">
        <f>AG12+AG45+AG50+AG56+AG57</f>
        <v>433774.07542520092</v>
      </c>
      <c r="AH58" s="142">
        <f t="shared" ref="AH58:AL58" si="160">AH60*AH63/1.2+AH61*AH64</f>
        <v>210594.74950000001</v>
      </c>
      <c r="AI58" s="142">
        <f t="shared" si="160"/>
        <v>213435.51866</v>
      </c>
      <c r="AJ58" s="142">
        <f>AJ12+AJ45+AJ50+AJ56+AJ57</f>
        <v>438413.73911999952</v>
      </c>
      <c r="AK58" s="142">
        <f t="shared" si="160"/>
        <v>220617.24100000004</v>
      </c>
      <c r="AL58" s="142">
        <f t="shared" si="160"/>
        <v>217796.49812</v>
      </c>
      <c r="AM58" s="142">
        <f>AM12+AM45+AM50+AM56+AM57</f>
        <v>447475.72767999943</v>
      </c>
      <c r="AN58" s="142">
        <f t="shared" ref="AN58:AR58" si="161">AN60*AN63/1.2+AN61*AN64</f>
        <v>225201.99775000001</v>
      </c>
      <c r="AO58" s="142">
        <f t="shared" si="161"/>
        <v>222273.72993</v>
      </c>
      <c r="AP58" s="142">
        <f>AP12+AP45+AP50+AP56+AP57</f>
        <v>456818.70813333261</v>
      </c>
      <c r="AQ58" s="142">
        <f t="shared" si="161"/>
        <v>229928.91750000004</v>
      </c>
      <c r="AR58" s="142">
        <f t="shared" si="161"/>
        <v>226889.79063333335</v>
      </c>
      <c r="AS58" s="142">
        <f>AS12+AS45+AS50+AS56+AS57</f>
        <v>469614.85329999938</v>
      </c>
      <c r="AT58" s="142">
        <f t="shared" ref="AT58:AX58" si="162">AT60*AT63/1.2+AT61*AT64</f>
        <v>234798.00025000001</v>
      </c>
      <c r="AU58" s="142">
        <f t="shared" si="162"/>
        <v>234816.85305000001</v>
      </c>
      <c r="AV58" s="142">
        <f>AV12+AV45+AV50+AV56+AV57</f>
        <v>482950.95421333273</v>
      </c>
      <c r="AW58" s="142">
        <v>243150.0765</v>
      </c>
      <c r="AX58" s="142">
        <f t="shared" si="162"/>
        <v>239800.87771333335</v>
      </c>
      <c r="AY58" s="142">
        <f>AY12+AY45+AY50+AY56+AY57</f>
        <v>496777.94099999935</v>
      </c>
      <c r="AZ58" s="142">
        <f t="shared" ref="AZ58:BD58" si="163">AZ60*AZ63/1.2+AZ61*AZ64</f>
        <v>248410.10750000001</v>
      </c>
      <c r="BA58" s="142">
        <f t="shared" si="163"/>
        <v>248367.83350000001</v>
      </c>
      <c r="BB58" s="142">
        <f>BB12+BB45+BB50+BB56+BB57</f>
        <v>506052.43377007759</v>
      </c>
      <c r="BC58" s="142">
        <f t="shared" si="163"/>
        <v>257472.99875000003</v>
      </c>
      <c r="BD58" s="142">
        <f t="shared" si="163"/>
        <v>260630.46912891424</v>
      </c>
      <c r="BE58" s="142">
        <f>BE12+BE45+BE50+BE56+BE57</f>
        <v>528974.57687552751</v>
      </c>
      <c r="BF58" s="142">
        <f t="shared" ref="BF58:BJ58" si="164">BF60*BF63/1.2+BF61*BF64</f>
        <v>270741.96189999999</v>
      </c>
      <c r="BG58" s="142">
        <f t="shared" si="164"/>
        <v>267183.69138346129</v>
      </c>
      <c r="BH58" s="142">
        <f>BH12+BH45+BH50+BH56+BH57</f>
        <v>542085.67410853459</v>
      </c>
      <c r="BI58" s="142">
        <f t="shared" si="164"/>
        <v>277533.14005000005</v>
      </c>
      <c r="BJ58" s="142">
        <f t="shared" si="164"/>
        <v>274416.72959530243</v>
      </c>
      <c r="BK58" s="142">
        <f>BK12+BK45+BK50+BK56+BK57</f>
        <v>560867.97569356777</v>
      </c>
      <c r="BL58" s="142">
        <f t="shared" ref="BL58:BP58" si="165">BL60*BL63/1.2+BL61*BL64</f>
        <v>285058.5551</v>
      </c>
      <c r="BM58" s="142">
        <f t="shared" si="165"/>
        <v>281857.74541348568</v>
      </c>
      <c r="BN58" s="142">
        <f>BN12+BN45+BN50+BN56+BN57</f>
        <v>580339.02291157458</v>
      </c>
      <c r="BO58" s="142">
        <v>292777.08234999998</v>
      </c>
      <c r="BP58" s="142">
        <f t="shared" si="165"/>
        <v>289490.13005524402</v>
      </c>
      <c r="BQ58" s="142">
        <f t="shared" ref="BQ58:BX58" si="166">BQ12+BQ45+BQ50+BQ56+BQ57</f>
        <v>600524.08917231241</v>
      </c>
      <c r="BR58" s="142">
        <f>BR60*BR63/1.2+BR61*BR64</f>
        <v>300711.52525000006</v>
      </c>
      <c r="BS58" s="142">
        <v>297338.67069678998</v>
      </c>
      <c r="BT58" s="141">
        <f t="shared" si="166"/>
        <v>7612651.8029528894</v>
      </c>
      <c r="BU58" s="124">
        <f t="shared" si="166"/>
        <v>202889.59389249136</v>
      </c>
      <c r="BV58" s="124">
        <f t="shared" si="166"/>
        <v>212526.48332999999</v>
      </c>
      <c r="BW58" s="124">
        <f t="shared" si="166"/>
        <v>216804.58996000001</v>
      </c>
      <c r="BX58" s="124">
        <f t="shared" si="166"/>
        <v>214532.01864999995</v>
      </c>
      <c r="BY58" s="142">
        <v>107709.995383334</v>
      </c>
      <c r="BZ58" s="142">
        <f>BZ60*BZ63/1.2+BZ61*BZ64</f>
        <v>106822.02770833347</v>
      </c>
      <c r="CA58" s="124">
        <f>CA12+CA45+CA50+CA56+CA57</f>
        <v>244410.59360195344</v>
      </c>
      <c r="CB58" s="142">
        <v>116669.03159322</v>
      </c>
      <c r="CC58" s="142">
        <v>127741.56200873401</v>
      </c>
      <c r="CD58" s="124">
        <f>CD12+CD45+CD50+CD56+CD57</f>
        <v>245854.99956799956</v>
      </c>
      <c r="CE58" s="142">
        <f t="shared" ref="CE58:CI58" si="167">CE60*CE63/1.2+CE61*CE64</f>
        <v>126474.94086666667</v>
      </c>
      <c r="CF58" s="142">
        <f t="shared" si="167"/>
        <v>123749.83662133335</v>
      </c>
      <c r="CG58" s="124">
        <f>CG12+CG45+CG50+CG56+CG57</f>
        <v>256679.11921507513</v>
      </c>
      <c r="CH58" s="142">
        <v>131204.86795000001</v>
      </c>
      <c r="CI58" s="142">
        <f t="shared" si="167"/>
        <v>128499.68858600003</v>
      </c>
      <c r="CJ58" s="124">
        <f>CJ12+CJ45+CJ50+CJ56+CJ57</f>
        <v>263872.41900144675</v>
      </c>
      <c r="CK58" s="142">
        <v>136218.02420000001</v>
      </c>
      <c r="CL58" s="142">
        <f>CL60*CL63/1.2+CL61*CL64</f>
        <v>133533.96282400002</v>
      </c>
      <c r="CM58" s="124">
        <f>CM12+CM45+CM50+CM56+CM57</f>
        <v>274836.84653168521</v>
      </c>
      <c r="CN58" s="142">
        <v>141571.05545000001</v>
      </c>
      <c r="CO58" s="142">
        <v>138909.54379</v>
      </c>
      <c r="CP58" s="124">
        <f>CP12+CP45+CP50+CP56+CP57</f>
        <v>291129.83796509734</v>
      </c>
      <c r="CQ58" s="142">
        <v>147263.96170000001</v>
      </c>
      <c r="CR58" s="142">
        <v>145161.48752</v>
      </c>
      <c r="CS58" s="124">
        <f>CS12+CS45+CS50+CS56+CS57</f>
        <v>299335.05117529334</v>
      </c>
      <c r="CT58" s="142">
        <v>153891.52420000001</v>
      </c>
      <c r="CU58" s="142">
        <v>151854.499625</v>
      </c>
      <c r="CV58" s="124">
        <f>CV12+CV45+CV50+CV56+CV57</f>
        <v>310233.5996847981</v>
      </c>
      <c r="CW58">
        <v>160972.25336666699</v>
      </c>
      <c r="CX58">
        <v>159005.15358333301</v>
      </c>
      <c r="CY58" s="124">
        <f>CY12+CY45+CY50+CY56+CY57</f>
        <v>330806.47213083279</v>
      </c>
      <c r="CZ58" s="142">
        <v>168534.47211666699</v>
      </c>
      <c r="DA58" s="142">
        <f t="shared" ref="DA58:DF58" si="168">DA60*DA63/1.2+DA61*DA64</f>
        <v>162272.0000141667</v>
      </c>
      <c r="DB58" s="124">
        <f>DB12+DB45+DB50+DB56+DB57</f>
        <v>337676.7940583328</v>
      </c>
      <c r="DC58" s="142">
        <v>172018.19086666699</v>
      </c>
      <c r="DD58" s="142">
        <f t="shared" si="168"/>
        <v>165658.60319166668</v>
      </c>
      <c r="DE58" s="124">
        <f>DE12+DE45+DE50+DE56+DE57</f>
        <v>344714.68481333274</v>
      </c>
      <c r="DF58" s="142">
        <f t="shared" si="168"/>
        <v>175586.87836666667</v>
      </c>
      <c r="DG58" s="142">
        <v>169127.806446667</v>
      </c>
      <c r="DH58" s="124">
        <f>DH12+DH45+DH50+DH56+DH57</f>
        <v>354363.6508083326</v>
      </c>
      <c r="DI58" s="142">
        <v>179268.85753333301</v>
      </c>
      <c r="DJ58">
        <v>175094.793275</v>
      </c>
      <c r="DK58" s="124">
        <f>DK12+DK45+DK50+DK56+DK57</f>
        <v>364431.95018249936</v>
      </c>
      <c r="DL58">
        <v>185584.86795000001</v>
      </c>
      <c r="DM58" s="142">
        <v>178847.08223249999</v>
      </c>
      <c r="DN58" s="124">
        <f>DN12+DN45+DN50+DN56+DN57</f>
        <v>374889.9399249992</v>
      </c>
      <c r="DO58" s="142">
        <f t="shared" ref="DO58:DS58" si="169">DO60*DO63/1.2+DO61*DO64</f>
        <v>189578.39920000001</v>
      </c>
      <c r="DP58" s="142">
        <f t="shared" si="169"/>
        <v>185311.540725</v>
      </c>
      <c r="DQ58" s="124">
        <f>DQ12+DQ45+DQ50+DQ56+DQ57</f>
        <v>380897.59253044188</v>
      </c>
      <c r="DR58" s="142">
        <v>196432.54503333301</v>
      </c>
      <c r="DS58" s="142">
        <f t="shared" si="169"/>
        <v>178964.86286297435</v>
      </c>
      <c r="DT58" s="124">
        <f>DT12+DT45+DT50+DT56+DT57</f>
        <v>390792.16094490001</v>
      </c>
      <c r="DU58" s="142">
        <v>189685.79073333301</v>
      </c>
      <c r="DV58" s="142">
        <v>185604.443803634</v>
      </c>
      <c r="DW58" s="124">
        <f>DW12+DW45+DW50+DW56+DW57</f>
        <v>403121.60070941987</v>
      </c>
      <c r="DX58" s="142">
        <v>196706.87735</v>
      </c>
      <c r="DY58">
        <v>196550.52782265301</v>
      </c>
      <c r="DZ58" s="124">
        <f>DZ12+DZ45+DZ50+DZ56+DZ57</f>
        <v>417510.01579416502</v>
      </c>
      <c r="EA58" s="142">
        <v>208295.91756666699</v>
      </c>
      <c r="EB58">
        <v>203165.77340758199</v>
      </c>
      <c r="EC58" s="124">
        <f>EC12+EC45+EC50+EC56+EC57</f>
        <v>432432.58214649151</v>
      </c>
      <c r="ED58" s="142">
        <v>215328.54791666701</v>
      </c>
      <c r="EE58" s="142">
        <v>215175.844736156</v>
      </c>
      <c r="EF58" s="124">
        <f>EF12+EF45+EF50+EF56+EF57</f>
        <v>447909.20633330185</v>
      </c>
      <c r="EG58" s="142">
        <v>228040.52356666699</v>
      </c>
      <c r="EH58" s="142">
        <v>222342.575992158</v>
      </c>
    </row>
    <row r="59" spans="1:141">
      <c r="A59" s="117" t="s">
        <v>136</v>
      </c>
      <c r="B59" s="121" t="s">
        <v>441</v>
      </c>
      <c r="C59" s="122" t="s">
        <v>442</v>
      </c>
      <c r="D59" s="122"/>
      <c r="E59" s="129"/>
      <c r="F59" s="124">
        <f t="shared" ref="F59:AK59" si="170">SUM(F60:F61)</f>
        <v>12054.220191174079</v>
      </c>
      <c r="G59" s="124">
        <f t="shared" si="170"/>
        <v>11411.400000000001</v>
      </c>
      <c r="H59" s="124">
        <f t="shared" si="170"/>
        <v>11350.040680000002</v>
      </c>
      <c r="I59" s="124">
        <f t="shared" si="170"/>
        <v>10904.152281299999</v>
      </c>
      <c r="J59" s="124">
        <f t="shared" si="170"/>
        <v>5538.6212161000003</v>
      </c>
      <c r="K59" s="124">
        <f t="shared" si="170"/>
        <v>5365.5310651999998</v>
      </c>
      <c r="L59" s="124">
        <f t="shared" si="170"/>
        <v>10870.44</v>
      </c>
      <c r="M59" s="124">
        <f t="shared" si="170"/>
        <v>5538.6200000000008</v>
      </c>
      <c r="N59" s="124">
        <f t="shared" si="170"/>
        <v>5331.82</v>
      </c>
      <c r="O59" s="124">
        <f t="shared" si="170"/>
        <v>10870.44</v>
      </c>
      <c r="P59" s="124">
        <f t="shared" si="170"/>
        <v>5538.6200000000008</v>
      </c>
      <c r="Q59" s="124">
        <f t="shared" si="170"/>
        <v>5331.82</v>
      </c>
      <c r="R59" s="124">
        <f t="shared" si="170"/>
        <v>10870.44</v>
      </c>
      <c r="S59" s="124">
        <f t="shared" si="170"/>
        <v>5538.6200000000008</v>
      </c>
      <c r="T59" s="124">
        <f t="shared" si="170"/>
        <v>5331.82</v>
      </c>
      <c r="U59" s="124">
        <f t="shared" si="170"/>
        <v>10870.44</v>
      </c>
      <c r="V59" s="124">
        <f t="shared" si="170"/>
        <v>5538.6200000000008</v>
      </c>
      <c r="W59" s="124">
        <f t="shared" si="170"/>
        <v>5331.82</v>
      </c>
      <c r="X59" s="124">
        <f t="shared" si="170"/>
        <v>10870.44</v>
      </c>
      <c r="Y59" s="124">
        <f t="shared" si="170"/>
        <v>5538.6200000000008</v>
      </c>
      <c r="Z59" s="124">
        <f t="shared" si="170"/>
        <v>5331.82</v>
      </c>
      <c r="AA59" s="124">
        <f t="shared" si="170"/>
        <v>10870.44</v>
      </c>
      <c r="AB59" s="124">
        <f t="shared" si="170"/>
        <v>5538.6200000000008</v>
      </c>
      <c r="AC59" s="124">
        <f t="shared" si="170"/>
        <v>5331.82</v>
      </c>
      <c r="AD59" s="124">
        <f t="shared" si="170"/>
        <v>10870.44</v>
      </c>
      <c r="AE59" s="124">
        <f t="shared" si="170"/>
        <v>5538.6200000000008</v>
      </c>
      <c r="AF59" s="124">
        <f t="shared" si="170"/>
        <v>5331.82</v>
      </c>
      <c r="AG59" s="124">
        <f t="shared" si="170"/>
        <v>10870.44</v>
      </c>
      <c r="AH59" s="124">
        <f t="shared" si="170"/>
        <v>5538.6200000000008</v>
      </c>
      <c r="AI59" s="124">
        <f t="shared" si="170"/>
        <v>5331.82</v>
      </c>
      <c r="AJ59" s="124">
        <f t="shared" si="170"/>
        <v>10870.44</v>
      </c>
      <c r="AK59" s="124">
        <f t="shared" si="170"/>
        <v>5538.6200000000008</v>
      </c>
      <c r="AL59" s="124">
        <f t="shared" ref="AL59:BQ59" si="171">SUM(AL60:AL61)</f>
        <v>5331.82</v>
      </c>
      <c r="AM59" s="124">
        <f t="shared" si="171"/>
        <v>10870.44</v>
      </c>
      <c r="AN59" s="124">
        <f t="shared" si="171"/>
        <v>5538.6200000000008</v>
      </c>
      <c r="AO59" s="124">
        <f t="shared" si="171"/>
        <v>5331.82</v>
      </c>
      <c r="AP59" s="124">
        <f t="shared" si="171"/>
        <v>10870.44</v>
      </c>
      <c r="AQ59" s="124">
        <f t="shared" si="171"/>
        <v>5538.6200000000008</v>
      </c>
      <c r="AR59" s="124">
        <f t="shared" si="171"/>
        <v>5331.82</v>
      </c>
      <c r="AS59" s="124">
        <f t="shared" si="171"/>
        <v>10870.44</v>
      </c>
      <c r="AT59" s="124">
        <f t="shared" si="171"/>
        <v>5538.6200000000008</v>
      </c>
      <c r="AU59" s="124">
        <f t="shared" si="171"/>
        <v>5331.82</v>
      </c>
      <c r="AV59" s="124">
        <f t="shared" si="171"/>
        <v>10870.44</v>
      </c>
      <c r="AW59" s="124">
        <f t="shared" si="171"/>
        <v>5538.6200000000008</v>
      </c>
      <c r="AX59" s="124">
        <f t="shared" si="171"/>
        <v>5331.82</v>
      </c>
      <c r="AY59" s="124">
        <f t="shared" si="171"/>
        <v>10870.44</v>
      </c>
      <c r="AZ59" s="124">
        <f t="shared" si="171"/>
        <v>5538.6200000000008</v>
      </c>
      <c r="BA59" s="124">
        <f t="shared" si="171"/>
        <v>5331.82</v>
      </c>
      <c r="BB59" s="124">
        <f t="shared" si="171"/>
        <v>10870.44</v>
      </c>
      <c r="BC59" s="124">
        <f t="shared" si="171"/>
        <v>5538.6200000000008</v>
      </c>
      <c r="BD59" s="124">
        <f t="shared" si="171"/>
        <v>5331.82</v>
      </c>
      <c r="BE59" s="124">
        <f t="shared" si="171"/>
        <v>10870.44</v>
      </c>
      <c r="BF59" s="124">
        <f t="shared" si="171"/>
        <v>5538.6200000000008</v>
      </c>
      <c r="BG59" s="124">
        <f t="shared" si="171"/>
        <v>5331.82</v>
      </c>
      <c r="BH59" s="124">
        <f t="shared" si="171"/>
        <v>10870.44</v>
      </c>
      <c r="BI59" s="124">
        <f t="shared" si="171"/>
        <v>5538.6200000000008</v>
      </c>
      <c r="BJ59" s="124">
        <f t="shared" si="171"/>
        <v>5331.82</v>
      </c>
      <c r="BK59" s="124">
        <f t="shared" si="171"/>
        <v>10870.44</v>
      </c>
      <c r="BL59" s="124">
        <f t="shared" si="171"/>
        <v>5538.6200000000008</v>
      </c>
      <c r="BM59" s="124">
        <f t="shared" si="171"/>
        <v>5331.82</v>
      </c>
      <c r="BN59" s="124">
        <f t="shared" si="171"/>
        <v>10870.44</v>
      </c>
      <c r="BO59" s="124">
        <f t="shared" si="171"/>
        <v>5538.6200000000008</v>
      </c>
      <c r="BP59" s="124">
        <f t="shared" si="171"/>
        <v>5331.82</v>
      </c>
      <c r="BQ59" s="124">
        <f t="shared" si="171"/>
        <v>10870.44</v>
      </c>
      <c r="BR59" s="124">
        <f t="shared" ref="BR59:BS59" si="172">SUM(BR60:BR61)</f>
        <v>5538.6200000000008</v>
      </c>
      <c r="BS59" s="124">
        <f t="shared" si="172"/>
        <v>5331.82</v>
      </c>
      <c r="BT59" s="129"/>
      <c r="BU59" s="124">
        <f t="shared" ref="BU59:CZ59" si="173">SUM(BU60:BU61)</f>
        <v>8862.9255071849402</v>
      </c>
      <c r="BV59" s="124">
        <f t="shared" si="173"/>
        <v>8631.1</v>
      </c>
      <c r="BW59" s="124">
        <f t="shared" si="173"/>
        <v>8405.3609338000006</v>
      </c>
      <c r="BX59" s="124">
        <f t="shared" si="173"/>
        <v>8159.5286833999999</v>
      </c>
      <c r="BY59" s="124">
        <f t="shared" si="173"/>
        <v>4196.2432996000007</v>
      </c>
      <c r="BZ59" s="124">
        <f t="shared" si="173"/>
        <v>3963.2853838000001</v>
      </c>
      <c r="CA59" s="124">
        <f t="shared" si="173"/>
        <v>8405.3609338000006</v>
      </c>
      <c r="CB59" s="124">
        <f t="shared" si="173"/>
        <v>4202.6804669000003</v>
      </c>
      <c r="CC59" s="124">
        <f t="shared" si="173"/>
        <v>4202.6804669000003</v>
      </c>
      <c r="CD59" s="124">
        <f t="shared" si="173"/>
        <v>8164.84</v>
      </c>
      <c r="CE59" s="124">
        <f t="shared" si="173"/>
        <v>4200.9799999999996</v>
      </c>
      <c r="CF59" s="124">
        <f t="shared" si="173"/>
        <v>3963.86</v>
      </c>
      <c r="CG59" s="124">
        <f t="shared" si="173"/>
        <v>8164.84</v>
      </c>
      <c r="CH59" s="124">
        <f t="shared" si="173"/>
        <v>4200.9799999999996</v>
      </c>
      <c r="CI59" s="124">
        <f t="shared" si="173"/>
        <v>3963.86</v>
      </c>
      <c r="CJ59" s="124">
        <f t="shared" si="173"/>
        <v>8164.84</v>
      </c>
      <c r="CK59" s="124">
        <f t="shared" si="173"/>
        <v>4200.9799999999996</v>
      </c>
      <c r="CL59" s="124">
        <f t="shared" si="173"/>
        <v>3963.86</v>
      </c>
      <c r="CM59" s="124">
        <f t="shared" si="173"/>
        <v>8164.84</v>
      </c>
      <c r="CN59" s="124">
        <f t="shared" si="173"/>
        <v>4200.9799999999996</v>
      </c>
      <c r="CO59" s="124">
        <f t="shared" si="173"/>
        <v>3963.86</v>
      </c>
      <c r="CP59" s="124">
        <f t="shared" si="173"/>
        <v>8164.84</v>
      </c>
      <c r="CQ59" s="124">
        <f t="shared" si="173"/>
        <v>4200.9799999999996</v>
      </c>
      <c r="CR59" s="124">
        <f t="shared" si="173"/>
        <v>3963.86</v>
      </c>
      <c r="CS59" s="124">
        <f t="shared" si="173"/>
        <v>8164.84</v>
      </c>
      <c r="CT59" s="124">
        <f t="shared" si="173"/>
        <v>4200.9799999999996</v>
      </c>
      <c r="CU59" s="124">
        <f t="shared" si="173"/>
        <v>3963.86</v>
      </c>
      <c r="CV59" s="124">
        <f t="shared" si="173"/>
        <v>8164.84</v>
      </c>
      <c r="CW59" s="124">
        <f t="shared" si="173"/>
        <v>4200.9799999999996</v>
      </c>
      <c r="CX59" s="124">
        <f t="shared" si="173"/>
        <v>3963.86</v>
      </c>
      <c r="CY59" s="124">
        <f t="shared" si="173"/>
        <v>8164.84</v>
      </c>
      <c r="CZ59" s="124">
        <f t="shared" si="173"/>
        <v>4200.9799999999996</v>
      </c>
      <c r="DA59" s="124">
        <f t="shared" ref="DA59:EF59" si="174">SUM(DA60:DA61)</f>
        <v>3963.86</v>
      </c>
      <c r="DB59" s="124">
        <f t="shared" si="174"/>
        <v>8164.84</v>
      </c>
      <c r="DC59" s="124">
        <f t="shared" si="174"/>
        <v>4200.9799999999996</v>
      </c>
      <c r="DD59" s="124">
        <f t="shared" si="174"/>
        <v>3963.86</v>
      </c>
      <c r="DE59" s="124">
        <f t="shared" si="174"/>
        <v>8164.84</v>
      </c>
      <c r="DF59" s="124">
        <f t="shared" si="174"/>
        <v>4200.9799999999996</v>
      </c>
      <c r="DG59" s="124">
        <f t="shared" si="174"/>
        <v>3963.86</v>
      </c>
      <c r="DH59" s="124">
        <f t="shared" si="174"/>
        <v>8164.84</v>
      </c>
      <c r="DI59" s="124">
        <f t="shared" si="174"/>
        <v>4200.9799999999996</v>
      </c>
      <c r="DJ59" s="124">
        <f t="shared" si="174"/>
        <v>3963.86</v>
      </c>
      <c r="DK59" s="124">
        <f t="shared" si="174"/>
        <v>8164.84</v>
      </c>
      <c r="DL59" s="124">
        <f t="shared" si="174"/>
        <v>4200.9799999999996</v>
      </c>
      <c r="DM59" s="124">
        <f t="shared" si="174"/>
        <v>3963.86</v>
      </c>
      <c r="DN59" s="124">
        <f t="shared" si="174"/>
        <v>8164.84</v>
      </c>
      <c r="DO59" s="124">
        <f t="shared" si="174"/>
        <v>4200.9799999999996</v>
      </c>
      <c r="DP59" s="124">
        <f t="shared" si="174"/>
        <v>3963.86</v>
      </c>
      <c r="DQ59" s="124">
        <f t="shared" si="174"/>
        <v>8164.84</v>
      </c>
      <c r="DR59" s="124">
        <f t="shared" si="174"/>
        <v>4200.9799999999996</v>
      </c>
      <c r="DS59" s="124">
        <f t="shared" si="174"/>
        <v>3963.86</v>
      </c>
      <c r="DT59" s="124">
        <f t="shared" si="174"/>
        <v>8164.84</v>
      </c>
      <c r="DU59" s="124">
        <f t="shared" si="174"/>
        <v>4200.9799999999996</v>
      </c>
      <c r="DV59" s="124">
        <f t="shared" si="174"/>
        <v>3963.86</v>
      </c>
      <c r="DW59" s="124">
        <f t="shared" si="174"/>
        <v>8164.84</v>
      </c>
      <c r="DX59" s="124">
        <f t="shared" si="174"/>
        <v>4200.9799999999996</v>
      </c>
      <c r="DY59" s="124">
        <f t="shared" si="174"/>
        <v>3963.86</v>
      </c>
      <c r="DZ59" s="124">
        <f t="shared" si="174"/>
        <v>8164.84</v>
      </c>
      <c r="EA59" s="124">
        <f t="shared" si="174"/>
        <v>4200.9799999999996</v>
      </c>
      <c r="EB59" s="124">
        <f t="shared" si="174"/>
        <v>3963.86</v>
      </c>
      <c r="EC59" s="124">
        <f t="shared" si="174"/>
        <v>8164.84</v>
      </c>
      <c r="ED59" s="124">
        <f t="shared" si="174"/>
        <v>4200.9799999999996</v>
      </c>
      <c r="EE59" s="124">
        <f t="shared" si="174"/>
        <v>3963.86</v>
      </c>
      <c r="EF59" s="124">
        <f t="shared" si="174"/>
        <v>8164.84</v>
      </c>
      <c r="EG59" s="124">
        <f t="shared" ref="EG59:EH59" si="175">SUM(EG60:EG61)</f>
        <v>4200.9799999999996</v>
      </c>
      <c r="EH59" s="124">
        <f t="shared" si="175"/>
        <v>3963.86</v>
      </c>
    </row>
    <row r="60" spans="1:141">
      <c r="A60" s="125" t="s">
        <v>66</v>
      </c>
      <c r="B60" s="126" t="s">
        <v>443</v>
      </c>
      <c r="C60" s="122" t="s">
        <v>442</v>
      </c>
      <c r="D60" s="122"/>
      <c r="E60" s="129"/>
      <c r="F60" s="124">
        <v>8800.6545581740793</v>
      </c>
      <c r="G60" s="124">
        <v>8416.1</v>
      </c>
      <c r="H60" s="124">
        <v>8230.5431000000008</v>
      </c>
      <c r="I60" s="124">
        <v>8313.4775626999999</v>
      </c>
      <c r="J60" s="124">
        <v>4264.8917965000001</v>
      </c>
      <c r="K60" s="124">
        <v>4048.5857661999999</v>
      </c>
      <c r="L60" s="124">
        <f>SUM(M60:N60)</f>
        <v>8308.4500000000007</v>
      </c>
      <c r="M60" s="124">
        <v>4264.8900000000003</v>
      </c>
      <c r="N60" s="124">
        <v>4043.56</v>
      </c>
      <c r="O60" s="124">
        <f t="shared" ref="O60:X61" si="176">L60</f>
        <v>8308.4500000000007</v>
      </c>
      <c r="P60" s="124">
        <f t="shared" si="176"/>
        <v>4264.8900000000003</v>
      </c>
      <c r="Q60" s="124">
        <f t="shared" si="176"/>
        <v>4043.56</v>
      </c>
      <c r="R60" s="124">
        <f t="shared" si="176"/>
        <v>8308.4500000000007</v>
      </c>
      <c r="S60" s="124">
        <f t="shared" si="176"/>
        <v>4264.8900000000003</v>
      </c>
      <c r="T60" s="124">
        <f t="shared" si="176"/>
        <v>4043.56</v>
      </c>
      <c r="U60" s="124">
        <f t="shared" si="176"/>
        <v>8308.4500000000007</v>
      </c>
      <c r="V60" s="124">
        <f t="shared" si="176"/>
        <v>4264.8900000000003</v>
      </c>
      <c r="W60" s="124">
        <f t="shared" si="176"/>
        <v>4043.56</v>
      </c>
      <c r="X60" s="124">
        <f t="shared" si="176"/>
        <v>8308.4500000000007</v>
      </c>
      <c r="Y60" s="124">
        <f t="shared" ref="Y60:AH61" si="177">V60</f>
        <v>4264.8900000000003</v>
      </c>
      <c r="Z60" s="124">
        <f t="shared" si="177"/>
        <v>4043.56</v>
      </c>
      <c r="AA60" s="124">
        <f t="shared" si="177"/>
        <v>8308.4500000000007</v>
      </c>
      <c r="AB60" s="124">
        <f t="shared" si="177"/>
        <v>4264.8900000000003</v>
      </c>
      <c r="AC60" s="124">
        <f t="shared" si="177"/>
        <v>4043.56</v>
      </c>
      <c r="AD60" s="124">
        <f t="shared" si="177"/>
        <v>8308.4500000000007</v>
      </c>
      <c r="AE60" s="124">
        <f t="shared" si="177"/>
        <v>4264.8900000000003</v>
      </c>
      <c r="AF60" s="124">
        <f t="shared" si="177"/>
        <v>4043.56</v>
      </c>
      <c r="AG60" s="124">
        <f t="shared" si="177"/>
        <v>8308.4500000000007</v>
      </c>
      <c r="AH60" s="124">
        <f t="shared" si="177"/>
        <v>4264.8900000000003</v>
      </c>
      <c r="AI60" s="124">
        <f t="shared" ref="AI60:AR61" si="178">AF60</f>
        <v>4043.56</v>
      </c>
      <c r="AJ60" s="124">
        <f t="shared" si="178"/>
        <v>8308.4500000000007</v>
      </c>
      <c r="AK60" s="124">
        <f t="shared" si="178"/>
        <v>4264.8900000000003</v>
      </c>
      <c r="AL60" s="124">
        <f t="shared" si="178"/>
        <v>4043.56</v>
      </c>
      <c r="AM60" s="124">
        <f t="shared" si="178"/>
        <v>8308.4500000000007</v>
      </c>
      <c r="AN60" s="124">
        <f t="shared" si="178"/>
        <v>4264.8900000000003</v>
      </c>
      <c r="AO60" s="124">
        <f t="shared" si="178"/>
        <v>4043.56</v>
      </c>
      <c r="AP60" s="124">
        <f t="shared" si="178"/>
        <v>8308.4500000000007</v>
      </c>
      <c r="AQ60" s="124">
        <f t="shared" si="178"/>
        <v>4264.8900000000003</v>
      </c>
      <c r="AR60" s="124">
        <f t="shared" si="178"/>
        <v>4043.56</v>
      </c>
      <c r="AS60" s="124">
        <f t="shared" ref="AS60:BB61" si="179">AP60</f>
        <v>8308.4500000000007</v>
      </c>
      <c r="AT60" s="124">
        <f t="shared" si="179"/>
        <v>4264.8900000000003</v>
      </c>
      <c r="AU60" s="124">
        <f t="shared" si="179"/>
        <v>4043.56</v>
      </c>
      <c r="AV60" s="124">
        <f t="shared" si="179"/>
        <v>8308.4500000000007</v>
      </c>
      <c r="AW60" s="124">
        <f t="shared" si="179"/>
        <v>4264.8900000000003</v>
      </c>
      <c r="AX60" s="124">
        <f t="shared" si="179"/>
        <v>4043.56</v>
      </c>
      <c r="AY60" s="124">
        <f t="shared" si="179"/>
        <v>8308.4500000000007</v>
      </c>
      <c r="AZ60" s="124">
        <f t="shared" si="179"/>
        <v>4264.8900000000003</v>
      </c>
      <c r="BA60" s="124">
        <f t="shared" si="179"/>
        <v>4043.56</v>
      </c>
      <c r="BB60" s="124">
        <f t="shared" si="179"/>
        <v>8308.4500000000007</v>
      </c>
      <c r="BC60" s="124">
        <f t="shared" ref="BC60:BL61" si="180">AZ60</f>
        <v>4264.8900000000003</v>
      </c>
      <c r="BD60" s="124">
        <f t="shared" si="180"/>
        <v>4043.56</v>
      </c>
      <c r="BE60" s="124">
        <f t="shared" si="180"/>
        <v>8308.4500000000007</v>
      </c>
      <c r="BF60" s="124">
        <f t="shared" si="180"/>
        <v>4264.8900000000003</v>
      </c>
      <c r="BG60" s="124">
        <f t="shared" si="180"/>
        <v>4043.56</v>
      </c>
      <c r="BH60" s="124">
        <f t="shared" si="180"/>
        <v>8308.4500000000007</v>
      </c>
      <c r="BI60" s="124">
        <f t="shared" si="180"/>
        <v>4264.8900000000003</v>
      </c>
      <c r="BJ60" s="124">
        <f t="shared" si="180"/>
        <v>4043.56</v>
      </c>
      <c r="BK60" s="124">
        <f t="shared" si="180"/>
        <v>8308.4500000000007</v>
      </c>
      <c r="BL60" s="124">
        <f t="shared" si="180"/>
        <v>4264.8900000000003</v>
      </c>
      <c r="BM60" s="124">
        <f t="shared" ref="BM60:BS61" si="181">BJ60</f>
        <v>4043.56</v>
      </c>
      <c r="BN60" s="124">
        <f t="shared" si="181"/>
        <v>8308.4500000000007</v>
      </c>
      <c r="BO60" s="124">
        <f t="shared" si="181"/>
        <v>4264.8900000000003</v>
      </c>
      <c r="BP60" s="124">
        <f t="shared" si="181"/>
        <v>4043.56</v>
      </c>
      <c r="BQ60" s="124">
        <f t="shared" si="181"/>
        <v>8308.4500000000007</v>
      </c>
      <c r="BR60" s="124">
        <f t="shared" si="181"/>
        <v>4264.8900000000003</v>
      </c>
      <c r="BS60" s="124">
        <f t="shared" si="181"/>
        <v>4043.56</v>
      </c>
      <c r="BT60" s="129"/>
      <c r="BU60" s="124">
        <v>7011.5149820849401</v>
      </c>
      <c r="BV60" s="124">
        <v>6997.75</v>
      </c>
      <c r="BW60" s="124">
        <v>6745.6632255000004</v>
      </c>
      <c r="BX60" s="124">
        <v>6715.4340943999996</v>
      </c>
      <c r="BY60" s="124">
        <v>3448.2410020000002</v>
      </c>
      <c r="BZ60" s="124">
        <v>3267.1930923999998</v>
      </c>
      <c r="CA60" s="124">
        <f>SUM(CB60:CC60)</f>
        <v>6745.6632255000004</v>
      </c>
      <c r="CB60" s="124">
        <v>3372.8316127500002</v>
      </c>
      <c r="CC60" s="124">
        <v>3372.8316127500002</v>
      </c>
      <c r="CD60" s="124">
        <f>SUM(CE60:CF60)</f>
        <v>6606.52</v>
      </c>
      <c r="CE60" s="124">
        <v>3398.75</v>
      </c>
      <c r="CF60" s="124">
        <v>3207.77</v>
      </c>
      <c r="CG60" s="124">
        <f>CD60</f>
        <v>6606.52</v>
      </c>
      <c r="CH60" s="124">
        <v>3398.75</v>
      </c>
      <c r="CI60" s="124">
        <v>3207.77</v>
      </c>
      <c r="CJ60" s="124">
        <f>CG60</f>
        <v>6606.52</v>
      </c>
      <c r="CK60" s="124">
        <v>3398.75</v>
      </c>
      <c r="CL60" s="124">
        <v>3207.77</v>
      </c>
      <c r="CM60" s="124">
        <f>CJ60</f>
        <v>6606.52</v>
      </c>
      <c r="CN60" s="124">
        <v>3398.75</v>
      </c>
      <c r="CO60" s="124">
        <v>3207.77</v>
      </c>
      <c r="CP60" s="124">
        <f>CM60</f>
        <v>6606.52</v>
      </c>
      <c r="CQ60" s="124">
        <v>3398.75</v>
      </c>
      <c r="CR60" s="124">
        <v>3207.77</v>
      </c>
      <c r="CS60" s="124">
        <f>CP60</f>
        <v>6606.52</v>
      </c>
      <c r="CT60" s="124">
        <v>3398.75</v>
      </c>
      <c r="CU60" s="124">
        <v>3207.77</v>
      </c>
      <c r="CV60" s="124">
        <f>CS60</f>
        <v>6606.52</v>
      </c>
      <c r="CW60" s="124">
        <v>3398.75</v>
      </c>
      <c r="CX60" s="124">
        <v>3207.77</v>
      </c>
      <c r="CY60" s="124">
        <f>CV60</f>
        <v>6606.52</v>
      </c>
      <c r="CZ60" s="124">
        <v>3398.75</v>
      </c>
      <c r="DA60" s="124">
        <v>3207.77</v>
      </c>
      <c r="DB60" s="124">
        <f>CY60</f>
        <v>6606.52</v>
      </c>
      <c r="DC60" s="124">
        <v>3398.75</v>
      </c>
      <c r="DD60" s="124">
        <v>3207.77</v>
      </c>
      <c r="DE60" s="124">
        <f>DB60</f>
        <v>6606.52</v>
      </c>
      <c r="DF60" s="124">
        <v>3398.75</v>
      </c>
      <c r="DG60" s="124">
        <v>3207.77</v>
      </c>
      <c r="DH60" s="124">
        <f>DE60</f>
        <v>6606.52</v>
      </c>
      <c r="DI60" s="124">
        <v>3398.75</v>
      </c>
      <c r="DJ60" s="124">
        <v>3207.77</v>
      </c>
      <c r="DK60" s="124">
        <f>DH60</f>
        <v>6606.52</v>
      </c>
      <c r="DL60" s="124">
        <v>3398.75</v>
      </c>
      <c r="DM60" s="124">
        <v>3207.77</v>
      </c>
      <c r="DN60" s="124">
        <f>DK60</f>
        <v>6606.52</v>
      </c>
      <c r="DO60" s="124">
        <v>3398.75</v>
      </c>
      <c r="DP60" s="124">
        <v>3207.77</v>
      </c>
      <c r="DQ60" s="124">
        <f>DN60</f>
        <v>6606.52</v>
      </c>
      <c r="DR60" s="124">
        <v>3398.75</v>
      </c>
      <c r="DS60" s="124">
        <v>3207.77</v>
      </c>
      <c r="DT60" s="124">
        <f>DQ60</f>
        <v>6606.52</v>
      </c>
      <c r="DU60" s="124">
        <v>3398.75</v>
      </c>
      <c r="DV60" s="124">
        <v>3207.77</v>
      </c>
      <c r="DW60" s="124">
        <f>DT60</f>
        <v>6606.52</v>
      </c>
      <c r="DX60" s="124">
        <v>3398.75</v>
      </c>
      <c r="DY60" s="124">
        <v>3207.77</v>
      </c>
      <c r="DZ60" s="124">
        <f>DW60</f>
        <v>6606.52</v>
      </c>
      <c r="EA60" s="124">
        <v>3398.75</v>
      </c>
      <c r="EB60" s="124">
        <v>3207.77</v>
      </c>
      <c r="EC60" s="124">
        <f>DZ60</f>
        <v>6606.52</v>
      </c>
      <c r="ED60" s="124">
        <v>3398.75</v>
      </c>
      <c r="EE60" s="124">
        <v>3207.77</v>
      </c>
      <c r="EF60" s="124">
        <f>EC60</f>
        <v>6606.52</v>
      </c>
      <c r="EG60" s="124">
        <v>3398.75</v>
      </c>
      <c r="EH60" s="124">
        <v>3207.77</v>
      </c>
    </row>
    <row r="61" spans="1:141">
      <c r="A61" s="125" t="s">
        <v>139</v>
      </c>
      <c r="B61" s="126" t="s">
        <v>665</v>
      </c>
      <c r="C61" s="122" t="s">
        <v>442</v>
      </c>
      <c r="D61" s="122"/>
      <c r="E61" s="129"/>
      <c r="F61" s="124">
        <v>3253.5656330000002</v>
      </c>
      <c r="G61" s="124">
        <v>2995.3</v>
      </c>
      <c r="H61" s="124">
        <v>3119.4975800000002</v>
      </c>
      <c r="I61" s="124">
        <v>2590.6747185999998</v>
      </c>
      <c r="J61" s="124">
        <v>1273.7294196</v>
      </c>
      <c r="K61" s="124">
        <v>1316.945299</v>
      </c>
      <c r="L61" s="124">
        <f>SUM(M61:N61)</f>
        <v>2561.9899999999998</v>
      </c>
      <c r="M61" s="124">
        <v>1273.73</v>
      </c>
      <c r="N61" s="124">
        <v>1288.26</v>
      </c>
      <c r="O61" s="124">
        <f t="shared" si="176"/>
        <v>2561.9899999999998</v>
      </c>
      <c r="P61" s="124">
        <f t="shared" si="176"/>
        <v>1273.73</v>
      </c>
      <c r="Q61" s="124">
        <f t="shared" si="176"/>
        <v>1288.26</v>
      </c>
      <c r="R61" s="124">
        <f t="shared" si="176"/>
        <v>2561.9899999999998</v>
      </c>
      <c r="S61" s="124">
        <f t="shared" si="176"/>
        <v>1273.73</v>
      </c>
      <c r="T61" s="124">
        <f t="shared" si="176"/>
        <v>1288.26</v>
      </c>
      <c r="U61" s="124">
        <f t="shared" si="176"/>
        <v>2561.9899999999998</v>
      </c>
      <c r="V61" s="124">
        <f t="shared" si="176"/>
        <v>1273.73</v>
      </c>
      <c r="W61" s="124">
        <f t="shared" si="176"/>
        <v>1288.26</v>
      </c>
      <c r="X61" s="124">
        <f t="shared" si="176"/>
        <v>2561.9899999999998</v>
      </c>
      <c r="Y61" s="124">
        <f t="shared" si="177"/>
        <v>1273.73</v>
      </c>
      <c r="Z61" s="124">
        <f t="shared" si="177"/>
        <v>1288.26</v>
      </c>
      <c r="AA61" s="124">
        <f t="shared" si="177"/>
        <v>2561.9899999999998</v>
      </c>
      <c r="AB61" s="124">
        <f t="shared" si="177"/>
        <v>1273.73</v>
      </c>
      <c r="AC61" s="124">
        <f t="shared" si="177"/>
        <v>1288.26</v>
      </c>
      <c r="AD61" s="124">
        <f t="shared" si="177"/>
        <v>2561.9899999999998</v>
      </c>
      <c r="AE61" s="124">
        <f t="shared" si="177"/>
        <v>1273.73</v>
      </c>
      <c r="AF61" s="124">
        <f t="shared" si="177"/>
        <v>1288.26</v>
      </c>
      <c r="AG61" s="124">
        <f t="shared" si="177"/>
        <v>2561.9899999999998</v>
      </c>
      <c r="AH61" s="124">
        <f t="shared" si="177"/>
        <v>1273.73</v>
      </c>
      <c r="AI61" s="124">
        <f t="shared" si="178"/>
        <v>1288.26</v>
      </c>
      <c r="AJ61" s="124">
        <f t="shared" si="178"/>
        <v>2561.9899999999998</v>
      </c>
      <c r="AK61" s="124">
        <f t="shared" si="178"/>
        <v>1273.73</v>
      </c>
      <c r="AL61" s="124">
        <f t="shared" si="178"/>
        <v>1288.26</v>
      </c>
      <c r="AM61" s="124">
        <f t="shared" si="178"/>
        <v>2561.9899999999998</v>
      </c>
      <c r="AN61" s="124">
        <f t="shared" si="178"/>
        <v>1273.73</v>
      </c>
      <c r="AO61" s="124">
        <f t="shared" si="178"/>
        <v>1288.26</v>
      </c>
      <c r="AP61" s="124">
        <f t="shared" si="178"/>
        <v>2561.9899999999998</v>
      </c>
      <c r="AQ61" s="124">
        <f t="shared" si="178"/>
        <v>1273.73</v>
      </c>
      <c r="AR61" s="124">
        <f t="shared" si="178"/>
        <v>1288.26</v>
      </c>
      <c r="AS61" s="124">
        <f t="shared" si="179"/>
        <v>2561.9899999999998</v>
      </c>
      <c r="AT61" s="124">
        <f t="shared" si="179"/>
        <v>1273.73</v>
      </c>
      <c r="AU61" s="124">
        <f t="shared" si="179"/>
        <v>1288.26</v>
      </c>
      <c r="AV61" s="124">
        <f t="shared" si="179"/>
        <v>2561.9899999999998</v>
      </c>
      <c r="AW61" s="124">
        <f t="shared" si="179"/>
        <v>1273.73</v>
      </c>
      <c r="AX61" s="124">
        <f t="shared" si="179"/>
        <v>1288.26</v>
      </c>
      <c r="AY61" s="124">
        <f t="shared" si="179"/>
        <v>2561.9899999999998</v>
      </c>
      <c r="AZ61" s="124">
        <f t="shared" si="179"/>
        <v>1273.73</v>
      </c>
      <c r="BA61" s="124">
        <f t="shared" si="179"/>
        <v>1288.26</v>
      </c>
      <c r="BB61" s="124">
        <f t="shared" si="179"/>
        <v>2561.9899999999998</v>
      </c>
      <c r="BC61" s="124">
        <f t="shared" si="180"/>
        <v>1273.73</v>
      </c>
      <c r="BD61" s="124">
        <f t="shared" si="180"/>
        <v>1288.26</v>
      </c>
      <c r="BE61" s="124">
        <f t="shared" si="180"/>
        <v>2561.9899999999998</v>
      </c>
      <c r="BF61" s="124">
        <f t="shared" si="180"/>
        <v>1273.73</v>
      </c>
      <c r="BG61" s="124">
        <f t="shared" si="180"/>
        <v>1288.26</v>
      </c>
      <c r="BH61" s="124">
        <f t="shared" si="180"/>
        <v>2561.9899999999998</v>
      </c>
      <c r="BI61" s="124">
        <f t="shared" si="180"/>
        <v>1273.73</v>
      </c>
      <c r="BJ61" s="124">
        <f t="shared" si="180"/>
        <v>1288.26</v>
      </c>
      <c r="BK61" s="124">
        <f t="shared" si="180"/>
        <v>2561.9899999999998</v>
      </c>
      <c r="BL61" s="124">
        <f t="shared" si="180"/>
        <v>1273.73</v>
      </c>
      <c r="BM61" s="124">
        <f t="shared" si="181"/>
        <v>1288.26</v>
      </c>
      <c r="BN61" s="124">
        <f t="shared" si="181"/>
        <v>2561.9899999999998</v>
      </c>
      <c r="BO61" s="124">
        <f t="shared" si="181"/>
        <v>1273.73</v>
      </c>
      <c r="BP61" s="124">
        <f t="shared" si="181"/>
        <v>1288.26</v>
      </c>
      <c r="BQ61" s="124">
        <f t="shared" si="181"/>
        <v>2561.9899999999998</v>
      </c>
      <c r="BR61" s="124">
        <f t="shared" si="181"/>
        <v>1273.73</v>
      </c>
      <c r="BS61" s="124">
        <f t="shared" si="181"/>
        <v>1288.26</v>
      </c>
      <c r="BT61" s="129"/>
      <c r="BU61" s="124">
        <v>1851.4105251000001</v>
      </c>
      <c r="BV61" s="124">
        <v>1633.35</v>
      </c>
      <c r="BW61" s="124">
        <v>1659.6977082999999</v>
      </c>
      <c r="BX61" s="124">
        <v>1444.094589</v>
      </c>
      <c r="BY61" s="124">
        <v>748.00229760000002</v>
      </c>
      <c r="BZ61" s="124">
        <v>696.09229140000002</v>
      </c>
      <c r="CA61" s="124">
        <f>SUM(CB61:CC61)</f>
        <v>1659.6977082999999</v>
      </c>
      <c r="CB61" s="124">
        <v>829.84885414999997</v>
      </c>
      <c r="CC61" s="124">
        <v>829.84885414999997</v>
      </c>
      <c r="CD61" s="124">
        <f>SUM(CE61:CF61)</f>
        <v>1558.3200000000002</v>
      </c>
      <c r="CE61" s="124">
        <v>802.23</v>
      </c>
      <c r="CF61" s="124">
        <v>756.09</v>
      </c>
      <c r="CG61" s="124">
        <f>CD61</f>
        <v>1558.3200000000002</v>
      </c>
      <c r="CH61" s="124">
        <v>802.23</v>
      </c>
      <c r="CI61" s="124">
        <v>756.09</v>
      </c>
      <c r="CJ61" s="124">
        <f>CG61</f>
        <v>1558.3200000000002</v>
      </c>
      <c r="CK61" s="124">
        <v>802.23</v>
      </c>
      <c r="CL61" s="124">
        <v>756.09</v>
      </c>
      <c r="CM61" s="124">
        <f>CJ61</f>
        <v>1558.3200000000002</v>
      </c>
      <c r="CN61" s="124">
        <v>802.23</v>
      </c>
      <c r="CO61" s="124">
        <v>756.09</v>
      </c>
      <c r="CP61" s="124">
        <f>CM61</f>
        <v>1558.3200000000002</v>
      </c>
      <c r="CQ61" s="124">
        <v>802.23</v>
      </c>
      <c r="CR61" s="124">
        <v>756.09</v>
      </c>
      <c r="CS61" s="124">
        <f>CP61</f>
        <v>1558.3200000000002</v>
      </c>
      <c r="CT61" s="124">
        <v>802.23</v>
      </c>
      <c r="CU61" s="124">
        <v>756.09</v>
      </c>
      <c r="CV61" s="124">
        <f>CS61</f>
        <v>1558.3200000000002</v>
      </c>
      <c r="CW61" s="124">
        <v>802.23</v>
      </c>
      <c r="CX61" s="124">
        <v>756.09</v>
      </c>
      <c r="CY61" s="124">
        <f>CV61</f>
        <v>1558.3200000000002</v>
      </c>
      <c r="CZ61" s="124">
        <v>802.23</v>
      </c>
      <c r="DA61" s="124">
        <v>756.09</v>
      </c>
      <c r="DB61" s="124">
        <f>CY61</f>
        <v>1558.3200000000002</v>
      </c>
      <c r="DC61" s="124">
        <v>802.23</v>
      </c>
      <c r="DD61" s="124">
        <v>756.09</v>
      </c>
      <c r="DE61" s="124">
        <f>DB61</f>
        <v>1558.3200000000002</v>
      </c>
      <c r="DF61" s="124">
        <v>802.23</v>
      </c>
      <c r="DG61" s="124">
        <v>756.09</v>
      </c>
      <c r="DH61" s="124">
        <f>DE61</f>
        <v>1558.3200000000002</v>
      </c>
      <c r="DI61" s="124">
        <v>802.23</v>
      </c>
      <c r="DJ61" s="124">
        <v>756.09</v>
      </c>
      <c r="DK61" s="124">
        <f>DH61</f>
        <v>1558.3200000000002</v>
      </c>
      <c r="DL61" s="124">
        <v>802.23</v>
      </c>
      <c r="DM61" s="124">
        <v>756.09</v>
      </c>
      <c r="DN61" s="124">
        <f>DK61</f>
        <v>1558.3200000000002</v>
      </c>
      <c r="DO61" s="124">
        <v>802.23</v>
      </c>
      <c r="DP61" s="124">
        <v>756.09</v>
      </c>
      <c r="DQ61" s="124">
        <f>DN61</f>
        <v>1558.3200000000002</v>
      </c>
      <c r="DR61" s="124">
        <v>802.23</v>
      </c>
      <c r="DS61" s="124">
        <v>756.09</v>
      </c>
      <c r="DT61" s="124">
        <f>DQ61</f>
        <v>1558.3200000000002</v>
      </c>
      <c r="DU61" s="124">
        <v>802.23</v>
      </c>
      <c r="DV61" s="124">
        <v>756.09</v>
      </c>
      <c r="DW61" s="124">
        <f>DT61</f>
        <v>1558.3200000000002</v>
      </c>
      <c r="DX61" s="124">
        <v>802.23</v>
      </c>
      <c r="DY61" s="124">
        <v>756.09</v>
      </c>
      <c r="DZ61" s="124">
        <f>DW61</f>
        <v>1558.3200000000002</v>
      </c>
      <c r="EA61" s="124">
        <v>802.23</v>
      </c>
      <c r="EB61" s="124">
        <v>756.09</v>
      </c>
      <c r="EC61" s="124">
        <f>DZ61</f>
        <v>1558.3200000000002</v>
      </c>
      <c r="ED61" s="124">
        <v>802.23</v>
      </c>
      <c r="EE61" s="124">
        <v>756.09</v>
      </c>
      <c r="EF61" s="124">
        <f>EC61</f>
        <v>1558.3200000000002</v>
      </c>
      <c r="EG61" s="124">
        <v>802.23</v>
      </c>
      <c r="EH61" s="124">
        <v>756.09</v>
      </c>
    </row>
    <row r="62" spans="1:141">
      <c r="A62" s="117" t="s">
        <v>348</v>
      </c>
      <c r="B62" s="143" t="s">
        <v>446</v>
      </c>
      <c r="C62" s="122" t="s">
        <v>447</v>
      </c>
      <c r="D62" s="122"/>
      <c r="E62" s="129"/>
      <c r="F62" s="124">
        <f t="shared" ref="F62:AK62" si="182">F58/F59</f>
        <v>24.506575904046862</v>
      </c>
      <c r="G62" s="124">
        <f t="shared" si="182"/>
        <v>26.861288373906774</v>
      </c>
      <c r="H62" s="124">
        <f t="shared" si="182"/>
        <v>27.838241145405295</v>
      </c>
      <c r="I62" s="124">
        <f t="shared" si="182"/>
        <v>28.303095424416256</v>
      </c>
      <c r="J62" s="124">
        <f t="shared" si="182"/>
        <v>27.435757594318037</v>
      </c>
      <c r="K62" s="124">
        <f t="shared" si="182"/>
        <v>29.19841407208288</v>
      </c>
      <c r="L62" s="124">
        <f t="shared" si="182"/>
        <v>28.64708723075298</v>
      </c>
      <c r="M62" s="124">
        <f t="shared" si="182"/>
        <v>27.206357666711199</v>
      </c>
      <c r="N62" s="124">
        <f t="shared" si="182"/>
        <v>30.143696939631671</v>
      </c>
      <c r="O62" s="124">
        <f t="shared" si="182"/>
        <v>30.908410902655838</v>
      </c>
      <c r="P62" s="124">
        <f t="shared" si="182"/>
        <v>29.790086203783613</v>
      </c>
      <c r="Q62" s="124">
        <f t="shared" si="182"/>
        <v>31.250545037654437</v>
      </c>
      <c r="R62" s="124">
        <f t="shared" si="182"/>
        <v>31.940654451790714</v>
      </c>
      <c r="S62" s="124">
        <f t="shared" si="182"/>
        <v>30.919459946701522</v>
      </c>
      <c r="T62" s="124">
        <f t="shared" si="182"/>
        <v>32.434026506521228</v>
      </c>
      <c r="U62" s="124">
        <f t="shared" si="182"/>
        <v>33.431370835147327</v>
      </c>
      <c r="V62" s="124">
        <f t="shared" si="182"/>
        <v>32.119419548551797</v>
      </c>
      <c r="W62" s="124">
        <f t="shared" si="182"/>
        <v>33.691475567192192</v>
      </c>
      <c r="X62" s="124">
        <f t="shared" si="182"/>
        <v>34.716647306976263</v>
      </c>
      <c r="Y62" s="124">
        <f t="shared" si="182"/>
        <v>33.396381905601032</v>
      </c>
      <c r="Z62" s="124">
        <f t="shared" si="182"/>
        <v>35.029616546194987</v>
      </c>
      <c r="AA62" s="124">
        <f t="shared" si="182"/>
        <v>35.774412410313488</v>
      </c>
      <c r="AB62" s="124">
        <f t="shared" si="182"/>
        <v>34.756763914115787</v>
      </c>
      <c r="AC62" s="124">
        <f t="shared" si="182"/>
        <v>36.588535366285193</v>
      </c>
      <c r="AD62" s="124">
        <f t="shared" si="182"/>
        <v>37.865214140032258</v>
      </c>
      <c r="AE62" s="124">
        <f t="shared" si="182"/>
        <v>36.335320395694239</v>
      </c>
      <c r="AF62" s="124">
        <f t="shared" si="182"/>
        <v>38.25204779918802</v>
      </c>
      <c r="AG62" s="124">
        <f t="shared" si="182"/>
        <v>39.904003464919626</v>
      </c>
      <c r="AH62" s="124">
        <f t="shared" si="182"/>
        <v>38.02296411380452</v>
      </c>
      <c r="AI62" s="124">
        <f t="shared" si="182"/>
        <v>40.030518408348371</v>
      </c>
      <c r="AJ62" s="124">
        <f t="shared" si="182"/>
        <v>40.330818174793244</v>
      </c>
      <c r="AK62" s="124">
        <f t="shared" si="182"/>
        <v>39.832528860979814</v>
      </c>
      <c r="AL62" s="124">
        <f t="shared" ref="AL62:BS62" si="183">AL58/AL59</f>
        <v>40.848434140687424</v>
      </c>
      <c r="AM62" s="124">
        <f t="shared" si="183"/>
        <v>41.164454031299506</v>
      </c>
      <c r="AN62" s="124">
        <f t="shared" si="183"/>
        <v>40.660308479368503</v>
      </c>
      <c r="AO62" s="124">
        <f t="shared" si="183"/>
        <v>41.688153375395274</v>
      </c>
      <c r="AP62" s="124">
        <f t="shared" si="183"/>
        <v>42.023939061650914</v>
      </c>
      <c r="AQ62" s="124">
        <f t="shared" si="183"/>
        <v>41.513755682823522</v>
      </c>
      <c r="AR62" s="124">
        <f t="shared" si="183"/>
        <v>42.553910415830501</v>
      </c>
      <c r="AS62" s="124">
        <f t="shared" si="183"/>
        <v>43.201089679902502</v>
      </c>
      <c r="AT62" s="124">
        <f t="shared" si="183"/>
        <v>42.392870471344843</v>
      </c>
      <c r="AU62" s="124">
        <f t="shared" si="183"/>
        <v>44.040656483152098</v>
      </c>
      <c r="AV62" s="124">
        <f t="shared" si="183"/>
        <v>44.427912229250403</v>
      </c>
      <c r="AW62" s="124">
        <f t="shared" si="183"/>
        <v>43.900841093990913</v>
      </c>
      <c r="AX62" s="124">
        <f t="shared" si="183"/>
        <v>44.975426348476383</v>
      </c>
      <c r="AY62" s="124">
        <f t="shared" si="183"/>
        <v>45.699892644639895</v>
      </c>
      <c r="AZ62" s="124">
        <f t="shared" si="183"/>
        <v>44.850541741444616</v>
      </c>
      <c r="BA62" s="124">
        <f t="shared" si="183"/>
        <v>46.582186476662756</v>
      </c>
      <c r="BB62" s="124">
        <f t="shared" si="183"/>
        <v>46.553077315184808</v>
      </c>
      <c r="BC62" s="124">
        <f t="shared" si="183"/>
        <v>46.486850289422271</v>
      </c>
      <c r="BD62" s="124">
        <f t="shared" si="183"/>
        <v>48.882083252794402</v>
      </c>
      <c r="BE62" s="124">
        <f t="shared" si="183"/>
        <v>48.661744775329012</v>
      </c>
      <c r="BF62" s="124">
        <f t="shared" si="183"/>
        <v>48.882566758506627</v>
      </c>
      <c r="BG62" s="124">
        <f t="shared" si="183"/>
        <v>50.111161176382794</v>
      </c>
      <c r="BH62" s="124">
        <f t="shared" si="183"/>
        <v>49.867868651916076</v>
      </c>
      <c r="BI62" s="124">
        <f t="shared" si="183"/>
        <v>50.108716620746684</v>
      </c>
      <c r="BJ62" s="124">
        <f t="shared" si="183"/>
        <v>51.467740770562855</v>
      </c>
      <c r="BK62" s="124">
        <f t="shared" si="183"/>
        <v>51.595701341764247</v>
      </c>
      <c r="BL62" s="124">
        <f t="shared" si="183"/>
        <v>51.46743324149336</v>
      </c>
      <c r="BM62" s="124">
        <f t="shared" si="183"/>
        <v>52.863327234131255</v>
      </c>
      <c r="BN62" s="124">
        <f t="shared" si="183"/>
        <v>53.386893530673511</v>
      </c>
      <c r="BO62" s="124">
        <f t="shared" si="183"/>
        <v>52.86101634522678</v>
      </c>
      <c r="BP62" s="124">
        <f t="shared" si="183"/>
        <v>54.294805536429216</v>
      </c>
      <c r="BQ62" s="124">
        <f t="shared" si="183"/>
        <v>55.243770185228229</v>
      </c>
      <c r="BR62" s="124">
        <f t="shared" si="183"/>
        <v>54.293583103733425</v>
      </c>
      <c r="BS62" s="124">
        <f t="shared" si="183"/>
        <v>55.766824592126142</v>
      </c>
      <c r="BT62" s="129"/>
      <c r="BU62" s="124">
        <f t="shared" ref="BU62:CZ62" si="184">BU58/BU59</f>
        <v>22.891943944244382</v>
      </c>
      <c r="BV62" s="124">
        <f t="shared" si="184"/>
        <v>24.623336924609838</v>
      </c>
      <c r="BW62" s="124">
        <f t="shared" si="184"/>
        <v>25.793608587131104</v>
      </c>
      <c r="BX62" s="124">
        <f t="shared" si="184"/>
        <v>26.292207181825415</v>
      </c>
      <c r="BY62" s="124">
        <f t="shared" si="184"/>
        <v>25.668195977483304</v>
      </c>
      <c r="BZ62" s="124">
        <f t="shared" si="184"/>
        <v>26.952898255818372</v>
      </c>
      <c r="CA62" s="124">
        <f t="shared" si="184"/>
        <v>29.077941509818931</v>
      </c>
      <c r="CB62" s="124">
        <f t="shared" si="184"/>
        <v>27.760623847588853</v>
      </c>
      <c r="CC62" s="124">
        <f t="shared" si="184"/>
        <v>30.395259172049144</v>
      </c>
      <c r="CD62" s="124">
        <f t="shared" si="184"/>
        <v>30.11142895243502</v>
      </c>
      <c r="CE62" s="124">
        <f t="shared" si="184"/>
        <v>30.106056412233976</v>
      </c>
      <c r="CF62" s="124">
        <f t="shared" si="184"/>
        <v>31.219527587082627</v>
      </c>
      <c r="CG62" s="124">
        <f t="shared" si="184"/>
        <v>31.43712788187829</v>
      </c>
      <c r="CH62" s="124">
        <f t="shared" si="184"/>
        <v>31.231966814886057</v>
      </c>
      <c r="CI62" s="124">
        <f t="shared" si="184"/>
        <v>32.417817124217308</v>
      </c>
      <c r="CJ62" s="124">
        <f t="shared" si="184"/>
        <v>32.318137159019251</v>
      </c>
      <c r="CK62" s="124">
        <f t="shared" si="184"/>
        <v>32.425297002128083</v>
      </c>
      <c r="CL62" s="124">
        <f t="shared" si="184"/>
        <v>33.687860525851065</v>
      </c>
      <c r="CM62" s="124">
        <f t="shared" si="184"/>
        <v>33.661020489279053</v>
      </c>
      <c r="CN62" s="124">
        <f t="shared" si="184"/>
        <v>33.699530930878041</v>
      </c>
      <c r="CO62" s="124">
        <f t="shared" si="184"/>
        <v>35.044008564883725</v>
      </c>
      <c r="CP62" s="124">
        <f t="shared" si="184"/>
        <v>35.656527006664838</v>
      </c>
      <c r="CQ62" s="124">
        <f t="shared" si="184"/>
        <v>35.05466860113593</v>
      </c>
      <c r="CR62" s="124">
        <f t="shared" si="184"/>
        <v>36.621244827012049</v>
      </c>
      <c r="CS62" s="124">
        <f t="shared" si="184"/>
        <v>36.661471771068797</v>
      </c>
      <c r="CT62" s="124">
        <f t="shared" si="184"/>
        <v>36.632291560540644</v>
      </c>
      <c r="CU62" s="124">
        <f t="shared" si="184"/>
        <v>38.309753529388018</v>
      </c>
      <c r="CV62" s="124">
        <f t="shared" si="184"/>
        <v>37.996286477726215</v>
      </c>
      <c r="CW62" s="124">
        <f t="shared" si="184"/>
        <v>38.317786175289342</v>
      </c>
      <c r="CX62" s="124">
        <f t="shared" si="184"/>
        <v>40.113715818251151</v>
      </c>
      <c r="CY62" s="124">
        <f t="shared" si="184"/>
        <v>40.515977304005069</v>
      </c>
      <c r="CZ62" s="124">
        <f t="shared" si="184"/>
        <v>40.117894423840866</v>
      </c>
      <c r="DA62" s="124">
        <f t="shared" ref="DA62:EH62" si="185">DA58/DA59</f>
        <v>40.937873692352071</v>
      </c>
      <c r="DB62" s="124">
        <f t="shared" si="185"/>
        <v>41.357429424009879</v>
      </c>
      <c r="DC62" s="124">
        <f t="shared" si="185"/>
        <v>40.947157774297189</v>
      </c>
      <c r="DD62" s="124">
        <f t="shared" si="185"/>
        <v>41.792243719926205</v>
      </c>
      <c r="DE62" s="124">
        <f t="shared" si="185"/>
        <v>42.219404766453813</v>
      </c>
      <c r="DF62" s="124">
        <f t="shared" si="185"/>
        <v>41.796647060130418</v>
      </c>
      <c r="DG62" s="124">
        <f t="shared" si="185"/>
        <v>42.667452040855885</v>
      </c>
      <c r="DH62" s="124">
        <f t="shared" si="185"/>
        <v>43.40117513733675</v>
      </c>
      <c r="DI62" s="124">
        <f t="shared" si="185"/>
        <v>42.673104259799622</v>
      </c>
      <c r="DJ62" s="124">
        <f t="shared" si="185"/>
        <v>44.172799562799895</v>
      </c>
      <c r="DK62" s="124">
        <f t="shared" si="185"/>
        <v>44.634303940126124</v>
      </c>
      <c r="DL62" s="124">
        <f t="shared" si="185"/>
        <v>44.17656545615548</v>
      </c>
      <c r="DM62" s="124">
        <f t="shared" si="185"/>
        <v>45.119424559015705</v>
      </c>
      <c r="DN62" s="124">
        <f t="shared" si="185"/>
        <v>45.91516060633144</v>
      </c>
      <c r="DO62" s="124">
        <f t="shared" si="185"/>
        <v>45.127184418873696</v>
      </c>
      <c r="DP62" s="124">
        <f t="shared" si="185"/>
        <v>46.750273905990625</v>
      </c>
      <c r="DQ62" s="124">
        <f t="shared" si="185"/>
        <v>46.650956115544439</v>
      </c>
      <c r="DR62" s="124">
        <f t="shared" si="185"/>
        <v>46.758743205950282</v>
      </c>
      <c r="DS62" s="124">
        <f t="shared" si="185"/>
        <v>45.14913817919259</v>
      </c>
      <c r="DT62" s="124">
        <f t="shared" si="185"/>
        <v>47.86280698028375</v>
      </c>
      <c r="DU62" s="124">
        <f t="shared" si="185"/>
        <v>45.15274786676752</v>
      </c>
      <c r="DV62" s="124">
        <f t="shared" si="185"/>
        <v>46.824167302486465</v>
      </c>
      <c r="DW62" s="124">
        <f t="shared" si="185"/>
        <v>49.372872059883584</v>
      </c>
      <c r="DX62" s="124">
        <f t="shared" si="185"/>
        <v>46.824045187075399</v>
      </c>
      <c r="DY62" s="124">
        <f t="shared" si="185"/>
        <v>49.585638196771079</v>
      </c>
      <c r="DZ62" s="124">
        <f t="shared" si="185"/>
        <v>51.135112971493015</v>
      </c>
      <c r="EA62" s="124">
        <f t="shared" si="185"/>
        <v>49.582696791383682</v>
      </c>
      <c r="EB62" s="124">
        <f t="shared" si="185"/>
        <v>51.254528012488329</v>
      </c>
      <c r="EC62" s="124">
        <f t="shared" si="185"/>
        <v>52.962774793687508</v>
      </c>
      <c r="ED62" s="124">
        <f t="shared" si="185"/>
        <v>51.256741978459083</v>
      </c>
      <c r="EE62" s="124">
        <f t="shared" si="185"/>
        <v>54.284420927115484</v>
      </c>
      <c r="EF62" s="124">
        <f t="shared" si="185"/>
        <v>54.858295610606191</v>
      </c>
      <c r="EG62" s="124">
        <f t="shared" si="185"/>
        <v>54.282696791383678</v>
      </c>
      <c r="EH62" s="124">
        <f t="shared" si="185"/>
        <v>56.092439186085784</v>
      </c>
    </row>
    <row r="63" spans="1:141">
      <c r="A63" s="125" t="s">
        <v>76</v>
      </c>
      <c r="B63" s="126" t="s">
        <v>448</v>
      </c>
      <c r="C63" s="122" t="s">
        <v>447</v>
      </c>
      <c r="D63" s="122"/>
      <c r="E63" s="129"/>
      <c r="F63" s="124">
        <f>19.9382842776192*1.18</f>
        <v>23.527175447590654</v>
      </c>
      <c r="G63" s="124">
        <f>21.76816*1.18</f>
        <v>25.686428800000002</v>
      </c>
      <c r="H63" s="124">
        <f>22.3424008435884*1.2</f>
        <v>26.81088101230608</v>
      </c>
      <c r="I63" s="124">
        <f>(J60*J63+K60*K63)/I60</f>
        <v>27.790376948460313</v>
      </c>
      <c r="J63" s="124">
        <v>27.168773954614899</v>
      </c>
      <c r="K63" s="124">
        <v>28.445190669158499</v>
      </c>
      <c r="L63" s="124">
        <f>(M60*M63+N60*N63)/L60</f>
        <v>26.635717368221506</v>
      </c>
      <c r="M63" s="124">
        <v>25.88</v>
      </c>
      <c r="N63" s="124">
        <v>27.4328</v>
      </c>
      <c r="O63" s="124">
        <f>(P60*P63+Q60*Q63)/O60</f>
        <v>28.284377224536463</v>
      </c>
      <c r="P63" s="124">
        <v>27.43</v>
      </c>
      <c r="Q63" s="124">
        <f>P63*$Q$67</f>
        <v>29.18552</v>
      </c>
      <c r="R63" s="124">
        <f>R62/O62*O$63</f>
        <v>29.228986315676</v>
      </c>
      <c r="S63" s="124">
        <f>ROUND(Q63,2)</f>
        <v>29.19</v>
      </c>
      <c r="T63" s="124">
        <f>S63*$T$67</f>
        <v>31.058160000000004</v>
      </c>
      <c r="U63" s="124">
        <f>U62/R62*R$63</f>
        <v>30.593145238451033</v>
      </c>
      <c r="V63" s="124">
        <f>ROUND(T63,2)</f>
        <v>31.06</v>
      </c>
      <c r="W63" s="124">
        <f>V63*$W$67</f>
        <v>33.047840000000001</v>
      </c>
      <c r="X63" s="124">
        <f>X62/U62*U$63</f>
        <v>31.769305497272597</v>
      </c>
      <c r="Y63" s="124">
        <v>33.049999999999997</v>
      </c>
      <c r="Z63" s="124">
        <f>Y63*$Z$67</f>
        <v>35.165199999999999</v>
      </c>
      <c r="AA63" s="124">
        <f>AA62/X62*X$63</f>
        <v>32.737269437313593</v>
      </c>
      <c r="AB63" s="124">
        <f>ROUND(Z63,2)</f>
        <v>35.17</v>
      </c>
      <c r="AC63" s="124">
        <f>AB63*$AC$67</f>
        <v>37.631900000000002</v>
      </c>
      <c r="AD63" s="124">
        <f>AD62/AA62*AA$63</f>
        <v>34.650568215802323</v>
      </c>
      <c r="AE63" s="124">
        <f>ROUND(AC63,2)</f>
        <v>37.630000000000003</v>
      </c>
      <c r="AF63" s="124">
        <f>AE63*$AF$67</f>
        <v>40.264100000000006</v>
      </c>
      <c r="AG63" s="124">
        <f>AG62/AD62*AD$63</f>
        <v>36.516270290492848</v>
      </c>
      <c r="AH63" s="124">
        <f>ROUND(AF63,2)</f>
        <v>40.26</v>
      </c>
      <c r="AI63" s="124">
        <f>AH63*$AI$67</f>
        <v>43.078200000000002</v>
      </c>
      <c r="AJ63" s="124">
        <f>AJ62/AG62*AG$63</f>
        <v>36.906849679936947</v>
      </c>
      <c r="AK63" s="124">
        <f>ROUND(AI63,2)</f>
        <v>43.08</v>
      </c>
      <c r="AL63" s="124">
        <f>AK63*$AL$67</f>
        <v>44.372399999999999</v>
      </c>
      <c r="AM63" s="124">
        <f>AM62/AJ62*AJ$63</f>
        <v>37.669712290621881</v>
      </c>
      <c r="AN63" s="124">
        <f>ROUND(AL63,2)</f>
        <v>44.37</v>
      </c>
      <c r="AO63" s="124">
        <f>AN63*$AO$67</f>
        <v>45.701099999999997</v>
      </c>
      <c r="AP63" s="124">
        <f>AP62/AM62*AM$63</f>
        <v>38.456229555901686</v>
      </c>
      <c r="AQ63" s="124">
        <f>ROUND(AO63,2)</f>
        <v>45.7</v>
      </c>
      <c r="AR63" s="124">
        <f>AQ63*$AR$67</f>
        <v>47.071000000000005</v>
      </c>
      <c r="AS63" s="124">
        <f>AS62/AP62*AP$63</f>
        <v>39.533443529845052</v>
      </c>
      <c r="AT63" s="124">
        <v>47.07</v>
      </c>
      <c r="AU63" s="124">
        <f>AT63*$AU$67</f>
        <v>49.423500000000004</v>
      </c>
      <c r="AV63" s="124">
        <f>AV62/AS62*AS$63</f>
        <v>40.656112433225715</v>
      </c>
      <c r="AW63" s="124">
        <f>ROUND(AU63,2)</f>
        <v>49.42</v>
      </c>
      <c r="AX63" s="124">
        <f>AW63*$AX$67</f>
        <v>50.9026</v>
      </c>
      <c r="AY63" s="124">
        <f>AY62/AV62*AV$63</f>
        <v>41.820105431908402</v>
      </c>
      <c r="AZ63" s="124">
        <f>ROUND(AX63,2)</f>
        <v>50.9</v>
      </c>
      <c r="BA63" s="124">
        <f>AZ63*$BA$67</f>
        <v>53.445</v>
      </c>
      <c r="BB63" s="124">
        <f>BB62/AY62*AY$63</f>
        <v>42.600857219500647</v>
      </c>
      <c r="BC63" s="124">
        <f>ROUND(BA63,2)</f>
        <v>53.45</v>
      </c>
      <c r="BD63" s="124">
        <f>BC63*$BD$67</f>
        <v>58.658500000000267</v>
      </c>
      <c r="BE63" s="124">
        <f>BE62/BB62*BB$63</f>
        <v>44.530504980159193</v>
      </c>
      <c r="BF63" s="124">
        <f>ROUND(BD63,2)</f>
        <v>58.66</v>
      </c>
      <c r="BG63" s="124">
        <f>BF63*$BG$67</f>
        <v>60.134384172523774</v>
      </c>
      <c r="BH63" s="124">
        <f>BH62/BE62*BE$63</f>
        <v>45.634232467552522</v>
      </c>
      <c r="BI63" s="124">
        <f>ROUND(BG63,2)</f>
        <v>60.13</v>
      </c>
      <c r="BJ63" s="124">
        <f>BI63*$BJ$67</f>
        <v>61.760792584196452</v>
      </c>
      <c r="BK63" s="124">
        <f>BK62/BH62*BH$63</f>
        <v>47.215377215966356</v>
      </c>
      <c r="BL63" s="124">
        <f>ROUND(BJ63,2)</f>
        <v>61.76</v>
      </c>
      <c r="BM63" s="124">
        <f>BL63*$BM$67</f>
        <v>63.43499999999954</v>
      </c>
      <c r="BN63" s="124">
        <f>BN62/BK62*BK$63</f>
        <v>48.854502427298385</v>
      </c>
      <c r="BO63" s="124">
        <f>ROUND(BM63,2)</f>
        <v>63.43</v>
      </c>
      <c r="BP63" s="124">
        <f>BO63*$BP$67</f>
        <v>65.150292260362221</v>
      </c>
      <c r="BQ63" s="124">
        <f>BQ62/BN62*BN$63</f>
        <v>50.55373568527051</v>
      </c>
      <c r="BR63" s="124">
        <f>ROUND(BP63,2)</f>
        <v>65.150000000000006</v>
      </c>
      <c r="BS63" s="124">
        <f>BR63*$BS$67</f>
        <v>66.917707779703719</v>
      </c>
      <c r="BT63" s="129"/>
      <c r="BU63" s="124">
        <f>16.7797633864593*1.18</f>
        <v>19.800120796021975</v>
      </c>
      <c r="BV63" s="124">
        <f>18.3873388*1.18</f>
        <v>21.697059783999997</v>
      </c>
      <c r="BW63" s="124">
        <v>22.972484420775999</v>
      </c>
      <c r="BX63" s="124">
        <f>(BY60*BY63+BZ60*BZ63)/BX60</f>
        <v>23.9492914410576</v>
      </c>
      <c r="BY63" s="124">
        <v>23.3803576818556</v>
      </c>
      <c r="BZ63" s="124">
        <v>24.549752038402101</v>
      </c>
      <c r="CA63" s="124">
        <f>(CB60*CB63+CC60*CC63)/CA60</f>
        <v>25.2865</v>
      </c>
      <c r="CB63" s="124">
        <v>24.55</v>
      </c>
      <c r="CC63" s="124">
        <v>26.023</v>
      </c>
      <c r="CD63" s="124">
        <f>(CE60*CE63+CF60*CF63)/CD60</f>
        <v>26.828570204222494</v>
      </c>
      <c r="CE63" s="124">
        <f>ROUND(CC63,2)</f>
        <v>26.02</v>
      </c>
      <c r="CF63" s="124">
        <f>CE63*$CF$67</f>
        <v>27.685280000000002</v>
      </c>
      <c r="CG63" s="124">
        <f>CG62/CD62*CD$63</f>
        <v>28.009736559841603</v>
      </c>
      <c r="CH63" s="124">
        <f>ROUND(CF63,2)</f>
        <v>27.69</v>
      </c>
      <c r="CI63" s="124">
        <f>CH63*$CI$67</f>
        <v>29.462160000000004</v>
      </c>
      <c r="CJ63" s="124">
        <f>CJ62/CG62*CG$63</f>
        <v>28.794694964827436</v>
      </c>
      <c r="CK63" s="124">
        <f>ROUND(CI63,2)</f>
        <v>29.46</v>
      </c>
      <c r="CL63" s="124">
        <f>CK63*$CL$67</f>
        <v>31.345440000000004</v>
      </c>
      <c r="CM63" s="124">
        <f>CM62/CJ62*CJ$63</f>
        <v>29.991172214673853</v>
      </c>
      <c r="CN63" s="124">
        <f>ROUND(CL63,2)</f>
        <v>31.35</v>
      </c>
      <c r="CO63" s="124">
        <f>CN63*$CO$67</f>
        <v>33.356400000000001</v>
      </c>
      <c r="CP63" s="124">
        <f>CP62/CM62*CM$63</f>
        <v>31.769121271134644</v>
      </c>
      <c r="CQ63" s="124">
        <f>ROUND(CO63,2)</f>
        <v>33.36</v>
      </c>
      <c r="CR63" s="124">
        <f>CQ63*$CR$67</f>
        <v>35.6952</v>
      </c>
      <c r="CS63" s="124">
        <f>CS62/CP62*CP$63</f>
        <v>32.66450326066979</v>
      </c>
      <c r="CT63" s="124">
        <f>ROUND(CR63,2)</f>
        <v>35.700000000000003</v>
      </c>
      <c r="CU63" s="124">
        <f>CT63*$CU$67</f>
        <v>38.199000000000005</v>
      </c>
      <c r="CV63" s="124">
        <f>CV62/CS62*CS$63</f>
        <v>33.853791557939097</v>
      </c>
      <c r="CW63" s="124">
        <f>ROUND(CU63,2)</f>
        <v>38.200000000000003</v>
      </c>
      <c r="CX63" s="124">
        <f>CW63*$CX$67</f>
        <v>40.874000000000002</v>
      </c>
      <c r="CY63" s="124">
        <f>CY62/CV62*CV$63</f>
        <v>36.098776421744141</v>
      </c>
      <c r="CZ63" s="124">
        <f>ROUND(CX63,2)</f>
        <v>40.869999999999997</v>
      </c>
      <c r="DA63" s="124">
        <f>CZ63*$DA$67</f>
        <v>42.0961</v>
      </c>
      <c r="DB63" s="124">
        <f>DB62/CY62*CY$63</f>
        <v>36.848490336374397</v>
      </c>
      <c r="DC63" s="124">
        <f>ROUND(DA63,2)</f>
        <v>42.1</v>
      </c>
      <c r="DD63" s="124">
        <f>DC63*$DD$67</f>
        <v>43.363</v>
      </c>
      <c r="DE63" s="124">
        <f>DE62/DB62*DB$63</f>
        <v>37.616489956239526</v>
      </c>
      <c r="DF63" s="124">
        <f>ROUND(DD63,2)</f>
        <v>43.36</v>
      </c>
      <c r="DG63" s="124">
        <f>DF63*$DG$67</f>
        <v>44.660800000000002</v>
      </c>
      <c r="DH63" s="124">
        <f>DH62/DE62*DE$63</f>
        <v>38.669419374188621</v>
      </c>
      <c r="DI63" s="124">
        <v>44.66</v>
      </c>
      <c r="DJ63" s="124">
        <f>DI63*$DJ$67</f>
        <v>46.893000000000001</v>
      </c>
      <c r="DK63" s="124">
        <f>DK62/DH62*DH$63</f>
        <v>39.768107938877549</v>
      </c>
      <c r="DL63" s="124">
        <f>ROUND(DJ63,2)</f>
        <v>46.89</v>
      </c>
      <c r="DM63" s="124">
        <f>DL63*$DM$67</f>
        <v>48.296700000000001</v>
      </c>
      <c r="DN63" s="124">
        <f>DN62/DK62*DK$63</f>
        <v>40.909320899747577</v>
      </c>
      <c r="DO63" s="124">
        <f>ROUND(DM63,2)</f>
        <v>48.3</v>
      </c>
      <c r="DP63" s="124">
        <f>DO63*$DP$67</f>
        <v>50.714999999999996</v>
      </c>
      <c r="DQ63" s="124">
        <f>DQ62/DN62*DN$63</f>
        <v>41.564897275948617</v>
      </c>
      <c r="DR63" s="124">
        <f>ROUND(DP63,2)</f>
        <v>50.72</v>
      </c>
      <c r="DS63" s="124">
        <f>DR63*$DS$67</f>
        <v>50.72</v>
      </c>
      <c r="DT63" s="124">
        <f>DT62/DQ62*DQ$63</f>
        <v>42.644627701663843</v>
      </c>
      <c r="DU63" s="124">
        <f>ROUND(DS63,2)</f>
        <v>50.72</v>
      </c>
      <c r="DV63" s="124">
        <f>DU63*$DV$67</f>
        <v>56.189000000000199</v>
      </c>
      <c r="DW63" s="124">
        <f>DW62/DT62*DT$63</f>
        <v>43.990059931565135</v>
      </c>
      <c r="DX63" s="124">
        <v>56.19</v>
      </c>
      <c r="DY63" s="124">
        <f>DX63*$DY$67</f>
        <v>59.503977810407576</v>
      </c>
      <c r="DZ63" s="124">
        <f>DZ62/DW62*DW$63</f>
        <v>45.560174856650526</v>
      </c>
      <c r="EA63" s="124">
        <f>ROUND(DY63,2)</f>
        <v>59.5</v>
      </c>
      <c r="EB63" s="124">
        <f>EA63*$EB$67</f>
        <v>61.506222324838895</v>
      </c>
      <c r="EC63" s="124">
        <f>EC62/DZ62*DZ$63</f>
        <v>47.188578264000505</v>
      </c>
      <c r="ED63" s="124">
        <f>ROUND(EB63,2)</f>
        <v>61.51</v>
      </c>
      <c r="EE63" s="124">
        <f>ED63*$EE$67</f>
        <v>65.143325242841513</v>
      </c>
      <c r="EF63" s="124">
        <f>EF62/EC62*EC$63</f>
        <v>48.877442428852959</v>
      </c>
      <c r="EG63" s="124">
        <f>ROUND(EE63,2)</f>
        <v>65.14</v>
      </c>
      <c r="EH63" s="124">
        <f>EG63*$EH$67</f>
        <v>67.311715444120395</v>
      </c>
    </row>
    <row r="64" spans="1:141" ht="30">
      <c r="A64" s="125" t="s">
        <v>82</v>
      </c>
      <c r="B64" s="126" t="s">
        <v>449</v>
      </c>
      <c r="C64" s="122" t="s">
        <v>447</v>
      </c>
      <c r="D64" s="122"/>
      <c r="E64" s="129"/>
      <c r="F64" s="124">
        <v>36.863467099789702</v>
      </c>
      <c r="G64" s="124">
        <v>41.1718007458351</v>
      </c>
      <c r="H64" s="124">
        <v>42.338573110664001</v>
      </c>
      <c r="I64" s="124">
        <f>(J61*J64+K61*K64)/I61</f>
        <v>44.811635362724985</v>
      </c>
      <c r="J64" s="124">
        <v>43.491472578529702</v>
      </c>
      <c r="K64" s="124">
        <v>46.088476684963197</v>
      </c>
      <c r="L64" s="124">
        <f>(M61*M64+N61*N64)/L61</f>
        <v>49.566354517386984</v>
      </c>
      <c r="M64" s="124">
        <v>46.09</v>
      </c>
      <c r="N64" s="124">
        <v>53.003500000000201</v>
      </c>
      <c r="O64" s="124">
        <f>(P61*P64+Q61*Q64)/O61</f>
        <v>53.000000000000007</v>
      </c>
      <c r="P64" s="124">
        <f>ROUND(N64,2)</f>
        <v>53</v>
      </c>
      <c r="Q64" s="124">
        <f>P64*$Q$68</f>
        <v>53</v>
      </c>
      <c r="R64" s="124">
        <f>R62/O62*O$64</f>
        <v>54.770033026817551</v>
      </c>
      <c r="S64" s="124">
        <v>53</v>
      </c>
      <c r="T64" s="124">
        <f>S64*$T$68</f>
        <v>53</v>
      </c>
      <c r="U64" s="124">
        <f>U62/R62*R$64</f>
        <v>57.326229415131763</v>
      </c>
      <c r="V64" s="124">
        <v>53</v>
      </c>
      <c r="W64" s="124">
        <f>V64*$W$68</f>
        <v>53</v>
      </c>
      <c r="X64" s="124">
        <f>X62/U62*U$64</f>
        <v>59.530149028517009</v>
      </c>
      <c r="Y64" s="124">
        <f>ROUND(W64,2)</f>
        <v>53</v>
      </c>
      <c r="Z64" s="124">
        <f>Y64*$Z$68</f>
        <v>53</v>
      </c>
      <c r="AA64" s="124">
        <f>AA62/X62*X$64</f>
        <v>61.343944977245506</v>
      </c>
      <c r="AB64" s="124">
        <f>ROUND(Z64,2)</f>
        <v>53</v>
      </c>
      <c r="AC64" s="124">
        <f>AB64*$AC$68</f>
        <v>53</v>
      </c>
      <c r="AD64" s="124">
        <f>AD62/AA62*AA$64</f>
        <v>64.929133876930194</v>
      </c>
      <c r="AE64" s="124">
        <f>ROUND(AC64,2)</f>
        <v>53</v>
      </c>
      <c r="AF64" s="124">
        <f>AE64*$AF$68</f>
        <v>53</v>
      </c>
      <c r="AG64" s="124">
        <f>AG62/AD62*AD$64</f>
        <v>68.425134837941926</v>
      </c>
      <c r="AH64" s="124">
        <f>ROUND(AF64,2)</f>
        <v>53</v>
      </c>
      <c r="AI64" s="124">
        <f>AH64*$AI$68</f>
        <v>53</v>
      </c>
      <c r="AJ64" s="124">
        <f>AJ62/AG62*AG$64</f>
        <v>69.157012633100848</v>
      </c>
      <c r="AK64" s="124">
        <f>ROUND(AI64,2)</f>
        <v>53</v>
      </c>
      <c r="AL64" s="124">
        <f>AK64*$AL$68</f>
        <v>53</v>
      </c>
      <c r="AM64" s="124">
        <f>AM62/AJ62*AJ$64</f>
        <v>70.586484388668694</v>
      </c>
      <c r="AN64" s="124">
        <f>ROUND(AL64,2)</f>
        <v>53</v>
      </c>
      <c r="AO64" s="124">
        <f>AN64*$AO$68</f>
        <v>53</v>
      </c>
      <c r="AP64" s="124">
        <f>AP62/AM62*AM$64</f>
        <v>72.060280849835522</v>
      </c>
      <c r="AQ64" s="124">
        <v>53</v>
      </c>
      <c r="AR64" s="124">
        <f>AQ64*$AR$68</f>
        <v>53</v>
      </c>
      <c r="AS64" s="124">
        <f>AS62/AP62*AP$64</f>
        <v>74.078792347040107</v>
      </c>
      <c r="AT64" s="124">
        <f>ROUND(AR64,2)</f>
        <v>53</v>
      </c>
      <c r="AU64" s="124">
        <f>AT64*$AU$68</f>
        <v>53</v>
      </c>
      <c r="AV64" s="124">
        <f>AV62/AS62*AS$64</f>
        <v>76.182478470542875</v>
      </c>
      <c r="AW64" s="124">
        <f>ROUND(AU64,2)</f>
        <v>53</v>
      </c>
      <c r="AX64" s="124">
        <f>AW64*$AX$68</f>
        <v>53</v>
      </c>
      <c r="AY64" s="124">
        <f>AY62/AV62*AV$64</f>
        <v>78.363598756149358</v>
      </c>
      <c r="AZ64" s="124">
        <f>ROUND(AX64,2)</f>
        <v>53</v>
      </c>
      <c r="BA64" s="124">
        <f>AZ64*$BA$68</f>
        <v>53</v>
      </c>
      <c r="BB64" s="124">
        <f>BB62/AY62*AY$64</f>
        <v>79.826591715615763</v>
      </c>
      <c r="BC64" s="124">
        <f>ROUND(BA64,2)</f>
        <v>53</v>
      </c>
      <c r="BD64" s="124">
        <f>BC64*$BD$68</f>
        <v>48.882083000000016</v>
      </c>
      <c r="BE64" s="124">
        <f>BE62/BB62*BB$64</f>
        <v>83.442415762333084</v>
      </c>
      <c r="BF64" s="124">
        <f>ROUND(BD64,2)</f>
        <v>48.88</v>
      </c>
      <c r="BG64" s="124">
        <f>BF64*$BG$68</f>
        <v>50.108569695754561</v>
      </c>
      <c r="BH64" s="124">
        <f>BH62/BE62*BE$64</f>
        <v>85.510608969044398</v>
      </c>
      <c r="BI64" s="124">
        <f>ROUND(BG64,2)</f>
        <v>50.11</v>
      </c>
      <c r="BJ64" s="124">
        <f>BI64*$BJ$68</f>
        <v>51.469039022020354</v>
      </c>
      <c r="BK64" s="124">
        <f>BK62/BH62*BH$64</f>
        <v>88.473399028046884</v>
      </c>
      <c r="BL64" s="124">
        <v>51.47</v>
      </c>
      <c r="BM64" s="124">
        <f>BL64*$BM$68</f>
        <v>52.865923737046252</v>
      </c>
      <c r="BN64" s="124">
        <f>BN62/BK62*BK$64</f>
        <v>91.544834383011505</v>
      </c>
      <c r="BO64" s="124">
        <f>ROUND(BM64,2)</f>
        <v>52.87</v>
      </c>
      <c r="BP64" s="124">
        <f>BO64*$BP$68</f>
        <v>54.303893296631728</v>
      </c>
      <c r="BQ64" s="124">
        <f>BQ62/BN62*BN$64</f>
        <v>94.728901755525428</v>
      </c>
      <c r="BR64" s="124">
        <f>ROUND(BP64,2)</f>
        <v>54.3</v>
      </c>
      <c r="BS64" s="124">
        <f>BR64*$BS$68</f>
        <v>55.773315923835938</v>
      </c>
      <c r="BT64" s="129"/>
      <c r="BU64" s="124">
        <v>46.0395089889033</v>
      </c>
      <c r="BV64" s="124">
        <v>51.3401801465087</v>
      </c>
      <c r="BW64" s="124">
        <v>52.821297953988797</v>
      </c>
      <c r="BX64" s="124">
        <f>(BY61*BY64+BZ61*BZ64)/BX61</f>
        <v>55.749198705478072</v>
      </c>
      <c r="BY64" s="124">
        <v>54.1786286575528</v>
      </c>
      <c r="BZ64" s="124">
        <v>57.436891586011299</v>
      </c>
      <c r="CA64" s="124">
        <f>(CB61*CB64+CC61*CC64)/CA61</f>
        <v>61.616892922244546</v>
      </c>
      <c r="CB64" s="124">
        <v>57.44</v>
      </c>
      <c r="CC64" s="124">
        <v>65.793785844489094</v>
      </c>
      <c r="CD64" s="124">
        <f>(CE61*CE64+CF61*CF64)/CD61</f>
        <v>65.790000000000006</v>
      </c>
      <c r="CE64" s="124">
        <f>ROUND(CC64,2)</f>
        <v>65.790000000000006</v>
      </c>
      <c r="CF64" s="124">
        <f>CE64*$CF$68</f>
        <v>65.790000000000006</v>
      </c>
      <c r="CG64" s="124">
        <f>CG62/CD62*CD$64</f>
        <v>68.686499289550312</v>
      </c>
      <c r="CH64" s="124">
        <f>ROUND(CF64,2)</f>
        <v>65.790000000000006</v>
      </c>
      <c r="CI64" s="124">
        <f>$CH$64*$CI$68</f>
        <v>65.790000000000006</v>
      </c>
      <c r="CJ64" s="124">
        <f>CJ62/CG62*CG$64</f>
        <v>70.611402967640842</v>
      </c>
      <c r="CK64" s="124">
        <f>ROUND(CI64,2)</f>
        <v>65.790000000000006</v>
      </c>
      <c r="CL64" s="124">
        <f>CK64*$CL$68</f>
        <v>65.790000000000006</v>
      </c>
      <c r="CM64" s="124">
        <f>CM62/CJ62*CJ$64</f>
        <v>73.545448191377986</v>
      </c>
      <c r="CN64" s="124">
        <v>65.790000000000006</v>
      </c>
      <c r="CO64" s="124">
        <f>CN64*$CO$68</f>
        <v>65.790000000000006</v>
      </c>
      <c r="CP64" s="124">
        <f>CP62/CM62*CM$64</f>
        <v>77.905399822573955</v>
      </c>
      <c r="CQ64" s="124">
        <f>ROUND(CO64,2)</f>
        <v>65.790000000000006</v>
      </c>
      <c r="CR64" s="124">
        <f>CQ64*$CR$68</f>
        <v>65.790000000000006</v>
      </c>
      <c r="CS64" s="124">
        <f>CS62/CP62*CP$64</f>
        <v>80.101088248871307</v>
      </c>
      <c r="CT64" s="124">
        <f>ROUND(CR64,2)</f>
        <v>65.790000000000006</v>
      </c>
      <c r="CU64" s="124">
        <f>CT64*$CU$68</f>
        <v>65.790000000000006</v>
      </c>
      <c r="CV64" s="124">
        <f>CV62/CS62*CS$64</f>
        <v>83.017504460460302</v>
      </c>
      <c r="CW64" s="124">
        <f>ROUND(CU64,2)</f>
        <v>65.790000000000006</v>
      </c>
      <c r="CX64" s="124">
        <f>CW64*$CX$68</f>
        <v>65.790000000000006</v>
      </c>
      <c r="CY64" s="124">
        <f>CY62/CV62*CV$64</f>
        <v>88.522738360941801</v>
      </c>
      <c r="CZ64" s="124">
        <f>ROUND(CX64,2)</f>
        <v>65.790000000000006</v>
      </c>
      <c r="DA64" s="124">
        <f>CZ64*$DA$68</f>
        <v>65.790000000000006</v>
      </c>
      <c r="DB64" s="124">
        <f>DB62/CY62*CY$64</f>
        <v>90.361214212173024</v>
      </c>
      <c r="DC64" s="124">
        <f>ROUND(DA64,2)</f>
        <v>65.790000000000006</v>
      </c>
      <c r="DD64" s="124">
        <f>DC64*$DD$68</f>
        <v>65.790000000000006</v>
      </c>
      <c r="DE64" s="124">
        <f>DE62/DB62*DB$64</f>
        <v>92.244530937824493</v>
      </c>
      <c r="DF64" s="124">
        <f>ROUND(DD64,2)</f>
        <v>65.790000000000006</v>
      </c>
      <c r="DG64" s="124">
        <f>DF64*$DG$68</f>
        <v>65.790000000000006</v>
      </c>
      <c r="DH64" s="124">
        <f>DH62/DE62*DE$64</f>
        <v>94.826562923858845</v>
      </c>
      <c r="DI64" s="124">
        <f>ROUND(DG64,2)</f>
        <v>65.790000000000006</v>
      </c>
      <c r="DJ64" s="124">
        <f>DI64*$DJ$68</f>
        <v>65.790000000000006</v>
      </c>
      <c r="DK64" s="124">
        <f>DK62/DH62*DH$64</f>
        <v>97.520807161276622</v>
      </c>
      <c r="DL64" s="124">
        <f>ROUND(DJ64,2)</f>
        <v>65.790000000000006</v>
      </c>
      <c r="DM64" s="124">
        <f>DL64*$DM$68</f>
        <v>65.790000000000006</v>
      </c>
      <c r="DN64" s="124">
        <f>DN62/DK62*DK$64</f>
        <v>100.31933127658047</v>
      </c>
      <c r="DO64" s="124">
        <f>ROUND(DM64,2)</f>
        <v>65.790000000000006</v>
      </c>
      <c r="DP64" s="124">
        <f>DO64*$DP$68</f>
        <v>65.790000000000006</v>
      </c>
      <c r="DQ64" s="124">
        <f>DQ62/DN62*DN$64</f>
        <v>101.92695961688905</v>
      </c>
      <c r="DR64" s="124">
        <f>ROUND(DP64,2)</f>
        <v>65.790000000000006</v>
      </c>
      <c r="DS64" s="124">
        <f>DR64*$DS$68</f>
        <v>57.378245353914217</v>
      </c>
      <c r="DT64" s="124">
        <f>DT62/DQ62*DQ$64</f>
        <v>104.57471401330577</v>
      </c>
      <c r="DU64" s="124">
        <f>ROUND(DS64,2)</f>
        <v>57.38</v>
      </c>
      <c r="DV64" s="124">
        <f>DU64*$DV$68</f>
        <v>46.824170000000024</v>
      </c>
      <c r="DW64" s="124">
        <f>DW62/DT62*DT$64</f>
        <v>107.87403208100042</v>
      </c>
      <c r="DX64" s="124">
        <v>46.82</v>
      </c>
      <c r="DY64" s="124">
        <f>DX64*$DY$68</f>
        <v>49.581353284984566</v>
      </c>
      <c r="DZ64" s="124">
        <f>DZ62/DW62*DW$64</f>
        <v>111.72432526230122</v>
      </c>
      <c r="EA64" s="124">
        <f>ROUND(DY64,2)</f>
        <v>49.58</v>
      </c>
      <c r="EB64" s="124">
        <f>EA64*$EB$68</f>
        <v>51.251739543958188</v>
      </c>
      <c r="EC64" s="124">
        <f>EC62/DZ62*DZ$64</f>
        <v>115.71755558930141</v>
      </c>
      <c r="ED64" s="124">
        <f>ROUND(EB64,2)</f>
        <v>51.25</v>
      </c>
      <c r="EE64" s="124">
        <f>ED64*$EE$68</f>
        <v>54.277278795246751</v>
      </c>
      <c r="EF64" s="124">
        <f>EF62/EC62*EC$64</f>
        <v>119.85904999470046</v>
      </c>
      <c r="EG64" s="124">
        <f>ROUND(EE64,2)</f>
        <v>54.28</v>
      </c>
      <c r="EH64" s="124">
        <f>EG64*$EH$68</f>
        <v>56.089651739435915</v>
      </c>
    </row>
    <row r="65" spans="1:140">
      <c r="A65" s="117">
        <v>6</v>
      </c>
      <c r="B65" s="121" t="s">
        <v>451</v>
      </c>
      <c r="C65" s="122" t="s">
        <v>16</v>
      </c>
      <c r="D65" s="122"/>
      <c r="E65" s="129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>
        <f>R58/O58</f>
        <v>1.0333968495625954</v>
      </c>
      <c r="S65" s="172"/>
      <c r="T65" s="172"/>
      <c r="U65" s="172">
        <f>U58/R58</f>
        <v>1.0466714414260549</v>
      </c>
      <c r="V65" s="172"/>
      <c r="W65" s="172"/>
      <c r="X65" s="172">
        <f>X58/U58</f>
        <v>1.0384452219493701</v>
      </c>
      <c r="Y65" s="172"/>
      <c r="Z65" s="172"/>
      <c r="AA65" s="172">
        <f>AA58/X58</f>
        <v>1.0304685269284246</v>
      </c>
      <c r="AB65" s="172"/>
      <c r="AC65" s="172"/>
      <c r="AD65" s="172">
        <f>AD58/AA58</f>
        <v>1.058444055089945</v>
      </c>
      <c r="AE65" s="172"/>
      <c r="AF65" s="172"/>
      <c r="AG65" s="172">
        <f>AG58/AD58</f>
        <v>1.0538433327578067</v>
      </c>
      <c r="AH65" s="172"/>
      <c r="AI65" s="172"/>
      <c r="AJ65" s="172">
        <f>AJ58/AG58</f>
        <v>1.0106960373098615</v>
      </c>
      <c r="AK65" s="172"/>
      <c r="AL65" s="172"/>
      <c r="AM65" s="172">
        <f>AM58/AJ58</f>
        <v>1.0206699465627822</v>
      </c>
      <c r="AN65" s="172"/>
      <c r="AO65" s="172"/>
      <c r="AP65" s="172">
        <f>AP58/AM58</f>
        <v>1.0208793011003594</v>
      </c>
      <c r="AQ65" s="172"/>
      <c r="AR65" s="172"/>
      <c r="AS65" s="172">
        <f>AS58/AP58</f>
        <v>1.0280114297835017</v>
      </c>
      <c r="AT65" s="172"/>
      <c r="AU65" s="172"/>
      <c r="AV65" s="172">
        <f>AV58/AS58</f>
        <v>1.0283979538117676</v>
      </c>
      <c r="AW65" s="172"/>
      <c r="AX65" s="172"/>
      <c r="AY65" s="172">
        <f>AY58/AV58</f>
        <v>1.0286302090637527</v>
      </c>
      <c r="AZ65" s="172"/>
      <c r="BA65" s="172"/>
      <c r="BB65" s="172">
        <f>BB58/AY58</f>
        <v>1.0186692926650667</v>
      </c>
      <c r="BC65" s="172"/>
      <c r="BD65" s="172"/>
      <c r="BE65" s="172">
        <f>BE58/BB58</f>
        <v>1.045295984320598</v>
      </c>
      <c r="BF65" s="172"/>
      <c r="BG65" s="172"/>
      <c r="BH65" s="172">
        <f>BH58/BE58</f>
        <v>1.0247858740403932</v>
      </c>
      <c r="BI65" s="172"/>
      <c r="BJ65" s="172"/>
      <c r="BK65" s="172">
        <f>BK58/BH58</f>
        <v>1.0346482161070221</v>
      </c>
      <c r="BL65" s="172"/>
      <c r="BM65" s="172"/>
      <c r="BN65" s="172">
        <f>BN58/BK58</f>
        <v>1.0347159190073725</v>
      </c>
      <c r="BO65" s="172"/>
      <c r="BP65" s="172"/>
      <c r="BQ65" s="172">
        <f>BQ58/BN58</f>
        <v>1.0347815078149818</v>
      </c>
      <c r="BR65" s="172"/>
      <c r="BS65" s="172"/>
      <c r="BT65" s="129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>
        <f>CG58/CD58</f>
        <v>1.0440264369896688</v>
      </c>
      <c r="CH65" s="172"/>
      <c r="CI65" s="172"/>
      <c r="CJ65" s="172">
        <f>CJ58/CG58</f>
        <v>1.028024483675839</v>
      </c>
      <c r="CK65" s="172"/>
      <c r="CL65" s="172"/>
      <c r="CM65" s="172">
        <f>CM58/CJ58</f>
        <v>1.0415520029403995</v>
      </c>
      <c r="CN65" s="172"/>
      <c r="CO65" s="172"/>
      <c r="CP65" s="172">
        <f>CP58/CM58</f>
        <v>1.0592824129625347</v>
      </c>
      <c r="CQ65" s="172"/>
      <c r="CR65" s="172"/>
      <c r="CS65" s="172">
        <f>CS58/CP58</f>
        <v>1.0281840338577033</v>
      </c>
      <c r="CT65" s="172"/>
      <c r="CU65" s="172"/>
      <c r="CV65" s="172">
        <f>CV58/CS58</f>
        <v>1.0364091958716939</v>
      </c>
      <c r="CW65" s="172"/>
      <c r="CX65" s="172"/>
      <c r="CY65" s="172">
        <f>CY58/CV58</f>
        <v>1.0663141338234705</v>
      </c>
      <c r="CZ65" s="172"/>
      <c r="DA65" s="172"/>
      <c r="DB65" s="172">
        <f>DB58/CY58</f>
        <v>1.0207684023932362</v>
      </c>
      <c r="DC65" s="172"/>
      <c r="DD65" s="172"/>
      <c r="DE65" s="172">
        <f>DE58/DB58</f>
        <v>1.0208420918429597</v>
      </c>
      <c r="DF65" s="172"/>
      <c r="DG65" s="172"/>
      <c r="DH65" s="172">
        <f>DH58/DE58</f>
        <v>1.0279911660863097</v>
      </c>
      <c r="DI65" s="172"/>
      <c r="DJ65" s="172"/>
      <c r="DK65" s="172">
        <f>DK58/DH58</f>
        <v>1.0284123367371347</v>
      </c>
      <c r="DL65" s="172"/>
      <c r="DM65" s="172"/>
      <c r="DN65" s="172">
        <f>DN58/DK58</f>
        <v>1.0286966873712986</v>
      </c>
      <c r="DO65" s="172"/>
      <c r="DP65" s="172"/>
      <c r="DQ65" s="172">
        <f>DQ58/DN58</f>
        <v>1.0160251102140661</v>
      </c>
      <c r="DR65" s="172"/>
      <c r="DS65" s="172"/>
      <c r="DT65" s="172">
        <f>DT58/DQ58</f>
        <v>1.0259769780867474</v>
      </c>
      <c r="DU65" s="172"/>
      <c r="DV65" s="172"/>
      <c r="DW65" s="172">
        <f>DW58/DT58</f>
        <v>1.0315498645999153</v>
      </c>
      <c r="DX65" s="172"/>
      <c r="DY65" s="172"/>
      <c r="DZ65" s="172">
        <f>DZ58/DW58</f>
        <v>1.0356924934298339</v>
      </c>
      <c r="EA65" s="172"/>
      <c r="EB65" s="172"/>
      <c r="EC65" s="172">
        <f>EC58/DZ58</f>
        <v>1.0357418164542509</v>
      </c>
      <c r="ED65" s="172"/>
      <c r="EE65" s="172"/>
      <c r="EF65" s="172">
        <f>EF58/EC58</f>
        <v>1.0357896810411189</v>
      </c>
      <c r="EG65" s="172"/>
      <c r="EH65" s="172"/>
    </row>
    <row r="66" spans="1:140">
      <c r="A66" s="117" t="s">
        <v>156</v>
      </c>
      <c r="B66" s="121" t="s">
        <v>666</v>
      </c>
      <c r="C66" s="122" t="s">
        <v>16</v>
      </c>
      <c r="D66" s="122"/>
      <c r="E66" s="129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228">
        <f>Q62/P62</f>
        <v>1.0490249952242614</v>
      </c>
      <c r="R66" s="172">
        <f>R62/O62</f>
        <v>1.0333968495625951</v>
      </c>
      <c r="S66" s="172"/>
      <c r="T66" s="228">
        <f>T62/S62</f>
        <v>1.0489842501269586</v>
      </c>
      <c r="U66" s="172">
        <f>U62/R62</f>
        <v>1.0466714414260549</v>
      </c>
      <c r="V66" s="172"/>
      <c r="W66" s="228">
        <f>W62/V62</f>
        <v>1.0489440980172158</v>
      </c>
      <c r="X66" s="172">
        <f>X62/U62</f>
        <v>1.0384452219493701</v>
      </c>
      <c r="Y66" s="172"/>
      <c r="Z66" s="228">
        <f>Z62/Y62</f>
        <v>1.0489045383781541</v>
      </c>
      <c r="AA66" s="172">
        <f>AA62/X62</f>
        <v>1.0304685269284246</v>
      </c>
      <c r="AB66" s="172"/>
      <c r="AC66" s="228">
        <f>AC62/AB62</f>
        <v>1.0527025892484043</v>
      </c>
      <c r="AD66" s="172">
        <f>AD62/AA62</f>
        <v>1.058444055089945</v>
      </c>
      <c r="AE66" s="172"/>
      <c r="AF66" s="228">
        <f>AF62/AE62</f>
        <v>1.0527510802882838</v>
      </c>
      <c r="AG66" s="172">
        <f>AG62/AD62</f>
        <v>1.0538433327578067</v>
      </c>
      <c r="AH66" s="172"/>
      <c r="AI66" s="228">
        <f>AI62/AH62</f>
        <v>1.0527984690655665</v>
      </c>
      <c r="AJ66" s="172">
        <f>AJ62/AG62</f>
        <v>1.0106960373098615</v>
      </c>
      <c r="AK66" s="172"/>
      <c r="AL66" s="228">
        <f>AL62/AK62</f>
        <v>1.0255044133214146</v>
      </c>
      <c r="AM66" s="172">
        <f>AM62/AJ62</f>
        <v>1.0206699465627822</v>
      </c>
      <c r="AN66" s="172"/>
      <c r="AO66" s="228">
        <f>AO62/AN62</f>
        <v>1.0252788268084172</v>
      </c>
      <c r="AP66" s="172">
        <f>AP62/AM62</f>
        <v>1.0208793011003594</v>
      </c>
      <c r="AQ66" s="172"/>
      <c r="AR66" s="228">
        <f>AR62/AQ62</f>
        <v>1.0250556644634623</v>
      </c>
      <c r="AS66" s="172">
        <f>AS62/AP62</f>
        <v>1.0280114297835017</v>
      </c>
      <c r="AT66" s="172"/>
      <c r="AU66" s="228">
        <f>AU62/AT62</f>
        <v>1.0388694135001089</v>
      </c>
      <c r="AV66" s="172">
        <f>AV62/AS62</f>
        <v>1.0283979538117676</v>
      </c>
      <c r="AW66" s="172"/>
      <c r="AX66" s="228">
        <f>AX62/AW62</f>
        <v>1.0244775550469478</v>
      </c>
      <c r="AY66" s="172">
        <f>AY62/AV62</f>
        <v>1.0286302090637527</v>
      </c>
      <c r="AZ66" s="172"/>
      <c r="BA66" s="228">
        <f>BA62/AZ62</f>
        <v>1.0386092267335534</v>
      </c>
      <c r="BB66" s="172">
        <f>BB62/AY62</f>
        <v>1.0186692926650667</v>
      </c>
      <c r="BC66" s="172"/>
      <c r="BD66" s="228">
        <f>BD62/BC62</f>
        <v>1.0515249570246137</v>
      </c>
      <c r="BE66" s="172">
        <f>BE62/BB62</f>
        <v>1.0452959843205982</v>
      </c>
      <c r="BF66" s="172"/>
      <c r="BG66" s="228">
        <f>BG62/BF62</f>
        <v>1.0251335905486667</v>
      </c>
      <c r="BH66" s="172">
        <f>BH62/BE62</f>
        <v>1.0247858740403932</v>
      </c>
      <c r="BI66" s="172"/>
      <c r="BJ66" s="228">
        <f>BJ62/BI62</f>
        <v>1.0271215118140442</v>
      </c>
      <c r="BK66" s="172">
        <f>BK62/BH62</f>
        <v>1.0346482161070218</v>
      </c>
      <c r="BL66" s="172"/>
      <c r="BM66" s="228">
        <f>BM62/BL62</f>
        <v>1.0271218886336946</v>
      </c>
      <c r="BN66" s="172">
        <f>BN62/BK62</f>
        <v>1.0347159190073725</v>
      </c>
      <c r="BO66" s="172"/>
      <c r="BP66" s="228">
        <f>BP62/BO62</f>
        <v>1.0271237537666433</v>
      </c>
      <c r="BQ66" s="172">
        <f>BQ62/BN62</f>
        <v>1.0347815078149818</v>
      </c>
      <c r="BR66" s="172"/>
      <c r="BS66" s="228">
        <f>BS62/BR62</f>
        <v>1.027134725766357</v>
      </c>
      <c r="BT66" s="129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228">
        <f>CF62/CE62</f>
        <v>1.0369849561032569</v>
      </c>
      <c r="CG66" s="172">
        <f>CG62/CD62</f>
        <v>1.0440264369896688</v>
      </c>
      <c r="CH66" s="172"/>
      <c r="CI66" s="228">
        <f>CI62/CH62</f>
        <v>1.0379691204322758</v>
      </c>
      <c r="CJ66" s="172">
        <f>CJ62/CG62</f>
        <v>1.028024483675839</v>
      </c>
      <c r="CK66" s="172"/>
      <c r="CL66" s="228">
        <f>CL62/CK62</f>
        <v>1.0389376086097259</v>
      </c>
      <c r="CM66" s="172">
        <f>CM62/CJ62</f>
        <v>1.0415520029403995</v>
      </c>
      <c r="CN66" s="172"/>
      <c r="CO66" s="228">
        <f>CO62/CN62</f>
        <v>1.0398960340653813</v>
      </c>
      <c r="CP66" s="172">
        <f>CP62/CM62</f>
        <v>1.0592824129625347</v>
      </c>
      <c r="CQ66" s="172"/>
      <c r="CR66" s="228">
        <f>CR62/CQ62</f>
        <v>1.0446895174991144</v>
      </c>
      <c r="CS66" s="172">
        <f>CS62/CP62</f>
        <v>1.0281840338577035</v>
      </c>
      <c r="CT66" s="172"/>
      <c r="CU66" s="228">
        <f>CU62/CT62</f>
        <v>1.0457918928188017</v>
      </c>
      <c r="CV66" s="172">
        <f>CV62/CS62</f>
        <v>1.0364091958716939</v>
      </c>
      <c r="CW66" s="172"/>
      <c r="CX66" s="228">
        <f>CX62/CW62</f>
        <v>1.0468693476900286</v>
      </c>
      <c r="CY66" s="172">
        <f>CY62/CV62</f>
        <v>1.0663141338234703</v>
      </c>
      <c r="CZ66" s="172"/>
      <c r="DA66" s="228">
        <f>DA62/CZ62</f>
        <v>1.0204392399024789</v>
      </c>
      <c r="DB66" s="172">
        <f>DB62/CY62</f>
        <v>1.0207684023932364</v>
      </c>
      <c r="DC66" s="172"/>
      <c r="DD66" s="228">
        <f>DD62/DC62</f>
        <v>1.0206384518868727</v>
      </c>
      <c r="DE66" s="172">
        <f>DE62/DB62</f>
        <v>1.0208420918429597</v>
      </c>
      <c r="DF66" s="172"/>
      <c r="DG66" s="228">
        <f>DG62/DF62</f>
        <v>1.0208343262432675</v>
      </c>
      <c r="DH66" s="172">
        <f>DH62/DE62</f>
        <v>1.0279911660863095</v>
      </c>
      <c r="DI66" s="172"/>
      <c r="DJ66" s="228">
        <f>DJ62/DI62</f>
        <v>1.0351438061283267</v>
      </c>
      <c r="DK66" s="172">
        <f>DK62/DH62</f>
        <v>1.0284123367371347</v>
      </c>
      <c r="DL66" s="172"/>
      <c r="DM66" s="228">
        <f>DM62/DL62</f>
        <v>1.021342969810453</v>
      </c>
      <c r="DN66" s="172">
        <f>DN62/DK62</f>
        <v>1.0286966873712986</v>
      </c>
      <c r="DO66" s="172"/>
      <c r="DP66" s="228">
        <f>DP62/DO62</f>
        <v>1.0359670009999138</v>
      </c>
      <c r="DQ66" s="172">
        <f>DQ62/DN62</f>
        <v>1.0160251102140658</v>
      </c>
      <c r="DR66" s="172"/>
      <c r="DS66" s="228">
        <f>DS62/DR62</f>
        <v>0.96557638387182188</v>
      </c>
      <c r="DT66" s="172">
        <f>DT62/DQ62</f>
        <v>1.0259769780867474</v>
      </c>
      <c r="DU66" s="172"/>
      <c r="DV66" s="228">
        <f>DV62/DU62</f>
        <v>1.0370170037192601</v>
      </c>
      <c r="DW66" s="172">
        <f>DW62/DT62</f>
        <v>1.0315498645999153</v>
      </c>
      <c r="DX66" s="172"/>
      <c r="DY66" s="228">
        <f>DY62/DX62</f>
        <v>1.0589780955204176</v>
      </c>
      <c r="DZ66" s="172">
        <f>DZ62/DW62</f>
        <v>1.0356924934298339</v>
      </c>
      <c r="EA66" s="172"/>
      <c r="EB66" s="228">
        <f>EB62/EA62</f>
        <v>1.0337180373253754</v>
      </c>
      <c r="EC66" s="172">
        <f>EC62/DZ62</f>
        <v>1.0357418164542509</v>
      </c>
      <c r="ED66" s="172"/>
      <c r="EE66" s="228">
        <f>EE62/ED62</f>
        <v>1.0590688918528766</v>
      </c>
      <c r="EF66" s="172">
        <f>EF62/EC62</f>
        <v>1.0357896810411189</v>
      </c>
      <c r="EG66" s="172"/>
      <c r="EH66" s="228">
        <f>EH62/EG62</f>
        <v>1.0333392130766312</v>
      </c>
    </row>
    <row r="67" spans="1:140">
      <c r="A67" s="117"/>
      <c r="B67" s="126" t="s">
        <v>667</v>
      </c>
      <c r="C67" s="173"/>
      <c r="D67" s="173"/>
      <c r="E67" s="174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229">
        <v>1.0640000000000001</v>
      </c>
      <c r="R67" s="172"/>
      <c r="S67" s="172"/>
      <c r="T67" s="229">
        <f>Q67</f>
        <v>1.0640000000000001</v>
      </c>
      <c r="U67" s="172"/>
      <c r="V67" s="172"/>
      <c r="W67" s="229">
        <f>T67</f>
        <v>1.0640000000000001</v>
      </c>
      <c r="X67" s="172"/>
      <c r="Y67" s="172"/>
      <c r="Z67" s="229">
        <f>W67</f>
        <v>1.0640000000000001</v>
      </c>
      <c r="AA67" s="172"/>
      <c r="AB67" s="172"/>
      <c r="AC67" s="230">
        <v>1.07</v>
      </c>
      <c r="AD67" s="172"/>
      <c r="AE67" s="172"/>
      <c r="AF67" s="230">
        <v>1.07</v>
      </c>
      <c r="AG67" s="172"/>
      <c r="AH67" s="172"/>
      <c r="AI67" s="230">
        <v>1.07</v>
      </c>
      <c r="AJ67" s="172"/>
      <c r="AK67" s="172"/>
      <c r="AL67" s="230">
        <v>1.03</v>
      </c>
      <c r="AM67" s="172"/>
      <c r="AN67" s="172"/>
      <c r="AO67" s="230">
        <v>1.03</v>
      </c>
      <c r="AP67" s="172"/>
      <c r="AQ67" s="172"/>
      <c r="AR67" s="230">
        <v>1.03</v>
      </c>
      <c r="AS67" s="172"/>
      <c r="AT67" s="172"/>
      <c r="AU67" s="230">
        <v>1.05</v>
      </c>
      <c r="AV67" s="172"/>
      <c r="AW67" s="172"/>
      <c r="AX67" s="230">
        <v>1.03</v>
      </c>
      <c r="AY67" s="172"/>
      <c r="AZ67" s="172"/>
      <c r="BA67" s="230">
        <v>1.05</v>
      </c>
      <c r="BB67" s="172"/>
      <c r="BC67" s="172"/>
      <c r="BD67" s="230">
        <v>1.0974462114125401</v>
      </c>
      <c r="BE67" s="172"/>
      <c r="BF67" s="172"/>
      <c r="BG67" s="230">
        <v>1.0251344045776301</v>
      </c>
      <c r="BH67" s="172"/>
      <c r="BI67" s="172"/>
      <c r="BJ67" s="230">
        <v>1.0271211139896299</v>
      </c>
      <c r="BK67" s="172"/>
      <c r="BL67" s="172"/>
      <c r="BM67" s="230">
        <f>BJ67</f>
        <v>1.0271211139896299</v>
      </c>
      <c r="BN67" s="172"/>
      <c r="BO67" s="172"/>
      <c r="BP67" s="230">
        <f>BM67</f>
        <v>1.0271211139896299</v>
      </c>
      <c r="BQ67" s="172"/>
      <c r="BR67" s="172"/>
      <c r="BS67" s="230">
        <v>1.02713288994173</v>
      </c>
      <c r="BT67" s="174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229">
        <f>Q67</f>
        <v>1.0640000000000001</v>
      </c>
      <c r="CG67" s="172"/>
      <c r="CH67" s="172"/>
      <c r="CI67" s="229">
        <f>T67</f>
        <v>1.0640000000000001</v>
      </c>
      <c r="CJ67" s="172"/>
      <c r="CK67" s="172"/>
      <c r="CL67" s="229">
        <f>W67</f>
        <v>1.0640000000000001</v>
      </c>
      <c r="CM67" s="172"/>
      <c r="CN67" s="172"/>
      <c r="CO67" s="229">
        <f>Z67</f>
        <v>1.0640000000000001</v>
      </c>
      <c r="CP67" s="172"/>
      <c r="CQ67" s="172"/>
      <c r="CR67" s="230">
        <f>AC67</f>
        <v>1.07</v>
      </c>
      <c r="CS67" s="172"/>
      <c r="CT67" s="172"/>
      <c r="CU67" s="230">
        <f>AF67</f>
        <v>1.07</v>
      </c>
      <c r="CV67" s="172"/>
      <c r="CW67" s="172"/>
      <c r="CX67" s="230">
        <f>AI67</f>
        <v>1.07</v>
      </c>
      <c r="CY67" s="172"/>
      <c r="CZ67" s="172"/>
      <c r="DA67" s="230">
        <f>AL67</f>
        <v>1.03</v>
      </c>
      <c r="DB67" s="172"/>
      <c r="DC67" s="172"/>
      <c r="DD67" s="230">
        <f>AO67</f>
        <v>1.03</v>
      </c>
      <c r="DE67" s="172"/>
      <c r="DF67" s="172"/>
      <c r="DG67" s="230">
        <f>AR67</f>
        <v>1.03</v>
      </c>
      <c r="DH67" s="172"/>
      <c r="DI67" s="172"/>
      <c r="DJ67" s="230">
        <f>AU67</f>
        <v>1.05</v>
      </c>
      <c r="DK67" s="172"/>
      <c r="DL67" s="172"/>
      <c r="DM67" s="230">
        <f>AX67</f>
        <v>1.03</v>
      </c>
      <c r="DN67" s="172"/>
      <c r="DO67" s="172"/>
      <c r="DP67" s="230">
        <f>BA67</f>
        <v>1.05</v>
      </c>
      <c r="DQ67" s="172"/>
      <c r="DR67" s="172"/>
      <c r="DS67" s="230">
        <v>1</v>
      </c>
      <c r="DT67" s="172"/>
      <c r="DU67" s="172"/>
      <c r="DV67" s="230">
        <v>1.10782728706625</v>
      </c>
      <c r="DW67" s="172"/>
      <c r="DX67" s="172"/>
      <c r="DY67" s="230">
        <v>1.0589780710163299</v>
      </c>
      <c r="DZ67" s="172"/>
      <c r="EA67" s="172"/>
      <c r="EB67" s="230">
        <v>1.0337180222661999</v>
      </c>
      <c r="EC67" s="172"/>
      <c r="ED67" s="172"/>
      <c r="EE67" s="230">
        <v>1.0590688545414</v>
      </c>
      <c r="EF67" s="172"/>
      <c r="EG67" s="172"/>
      <c r="EH67" s="230">
        <v>1.0333391993263801</v>
      </c>
    </row>
    <row r="68" spans="1:140">
      <c r="A68" s="117"/>
      <c r="B68" s="126" t="s">
        <v>668</v>
      </c>
      <c r="C68" s="173"/>
      <c r="D68" s="173"/>
      <c r="E68" s="174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230">
        <v>1</v>
      </c>
      <c r="R68" s="172"/>
      <c r="S68" s="172"/>
      <c r="T68" s="230">
        <f>Q68</f>
        <v>1</v>
      </c>
      <c r="U68" s="172"/>
      <c r="V68" s="172"/>
      <c r="W68" s="230">
        <f>T68</f>
        <v>1</v>
      </c>
      <c r="X68" s="172"/>
      <c r="Y68" s="172"/>
      <c r="Z68" s="230">
        <f>W68</f>
        <v>1</v>
      </c>
      <c r="AA68" s="172"/>
      <c r="AB68" s="172"/>
      <c r="AC68" s="230">
        <f>Z68</f>
        <v>1</v>
      </c>
      <c r="AD68" s="172"/>
      <c r="AE68" s="172"/>
      <c r="AF68" s="230">
        <f>AC68</f>
        <v>1</v>
      </c>
      <c r="AG68" s="172"/>
      <c r="AH68" s="172"/>
      <c r="AI68" s="230">
        <f>AF68</f>
        <v>1</v>
      </c>
      <c r="AJ68" s="172"/>
      <c r="AK68" s="172"/>
      <c r="AL68" s="230">
        <f>AI68</f>
        <v>1</v>
      </c>
      <c r="AM68" s="172"/>
      <c r="AN68" s="172"/>
      <c r="AO68" s="230">
        <f>AL68</f>
        <v>1</v>
      </c>
      <c r="AP68" s="172"/>
      <c r="AQ68" s="172"/>
      <c r="AR68" s="230">
        <f>AO68</f>
        <v>1</v>
      </c>
      <c r="AS68" s="172"/>
      <c r="AT68" s="172"/>
      <c r="AU68" s="230">
        <f>AR68</f>
        <v>1</v>
      </c>
      <c r="AV68" s="172"/>
      <c r="AW68" s="172"/>
      <c r="AX68" s="230">
        <f>AU68</f>
        <v>1</v>
      </c>
      <c r="AY68" s="172"/>
      <c r="AZ68" s="172"/>
      <c r="BA68" s="230">
        <v>1</v>
      </c>
      <c r="BB68" s="172"/>
      <c r="BC68" s="172"/>
      <c r="BD68" s="230">
        <v>0.922303452830189</v>
      </c>
      <c r="BE68" s="172"/>
      <c r="BF68" s="172"/>
      <c r="BG68" s="230">
        <f>BG67</f>
        <v>1.0251344045776301</v>
      </c>
      <c r="BH68" s="172"/>
      <c r="BI68" s="172"/>
      <c r="BJ68" s="230">
        <f>BJ67</f>
        <v>1.0271211139896299</v>
      </c>
      <c r="BK68" s="172"/>
      <c r="BL68" s="172"/>
      <c r="BM68" s="230">
        <f>BM67</f>
        <v>1.0271211139896299</v>
      </c>
      <c r="BN68" s="172"/>
      <c r="BO68" s="172"/>
      <c r="BP68" s="230">
        <f>BP67</f>
        <v>1.0271211139896299</v>
      </c>
      <c r="BQ68" s="172"/>
      <c r="BR68" s="172"/>
      <c r="BS68" s="230">
        <f>BS67</f>
        <v>1.02713288994173</v>
      </c>
      <c r="BT68" s="174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230">
        <f>Q68</f>
        <v>1</v>
      </c>
      <c r="CG68" s="172"/>
      <c r="CH68" s="172"/>
      <c r="CI68" s="230">
        <f>CF68</f>
        <v>1</v>
      </c>
      <c r="CJ68" s="172"/>
      <c r="CK68" s="172"/>
      <c r="CL68" s="230">
        <f>CI68</f>
        <v>1</v>
      </c>
      <c r="CM68" s="172"/>
      <c r="CN68" s="172"/>
      <c r="CO68" s="230">
        <f>CL68</f>
        <v>1</v>
      </c>
      <c r="CP68" s="172"/>
      <c r="CQ68" s="172"/>
      <c r="CR68" s="230">
        <f>CO68</f>
        <v>1</v>
      </c>
      <c r="CS68" s="172"/>
      <c r="CT68" s="172"/>
      <c r="CU68" s="230">
        <f>CR68</f>
        <v>1</v>
      </c>
      <c r="CV68" s="172"/>
      <c r="CW68" s="172"/>
      <c r="CX68" s="230">
        <f>CU68</f>
        <v>1</v>
      </c>
      <c r="CY68" s="172"/>
      <c r="CZ68" s="172"/>
      <c r="DA68" s="230">
        <f>CX68</f>
        <v>1</v>
      </c>
      <c r="DB68" s="172"/>
      <c r="DC68" s="172"/>
      <c r="DD68" s="230">
        <f>DA68</f>
        <v>1</v>
      </c>
      <c r="DE68" s="172"/>
      <c r="DF68" s="172"/>
      <c r="DG68" s="230">
        <f>DD68</f>
        <v>1</v>
      </c>
      <c r="DH68" s="172"/>
      <c r="DI68" s="172"/>
      <c r="DJ68" s="230">
        <f>DG68</f>
        <v>1</v>
      </c>
      <c r="DK68" s="172"/>
      <c r="DL68" s="172"/>
      <c r="DM68" s="230">
        <f>DJ68</f>
        <v>1</v>
      </c>
      <c r="DN68" s="172"/>
      <c r="DO68" s="172"/>
      <c r="DP68" s="230">
        <f>BA68</f>
        <v>1</v>
      </c>
      <c r="DQ68" s="172"/>
      <c r="DR68" s="172"/>
      <c r="DS68" s="230">
        <v>0.87214235224067804</v>
      </c>
      <c r="DT68" s="172"/>
      <c r="DU68" s="172"/>
      <c r="DV68" s="230">
        <v>0.81603642384106001</v>
      </c>
      <c r="DW68" s="172"/>
      <c r="DX68" s="172"/>
      <c r="DY68" s="230">
        <f>DY67</f>
        <v>1.0589780710163299</v>
      </c>
      <c r="DZ68" s="172"/>
      <c r="EA68" s="172"/>
      <c r="EB68" s="230">
        <f>EB67</f>
        <v>1.0337180222661999</v>
      </c>
      <c r="EC68" s="172"/>
      <c r="ED68" s="172"/>
      <c r="EE68" s="230">
        <f>EE67</f>
        <v>1.0590688545414</v>
      </c>
      <c r="EF68" s="172"/>
      <c r="EG68" s="172"/>
      <c r="EH68" s="230">
        <f>EH67</f>
        <v>1.0333391993263801</v>
      </c>
    </row>
    <row r="70" spans="1:140">
      <c r="A70" s="175"/>
      <c r="B70" s="176" t="s">
        <v>669</v>
      </c>
      <c r="C70" s="177"/>
      <c r="D70" s="177"/>
      <c r="E70" s="178"/>
      <c r="F70" s="177"/>
      <c r="G70" s="177"/>
      <c r="H70" s="177"/>
      <c r="I70" s="177"/>
      <c r="J70" s="177"/>
      <c r="K70" s="177"/>
      <c r="L70" s="177"/>
      <c r="M70" s="177"/>
      <c r="N70" s="177"/>
      <c r="O70" s="177">
        <v>1.036</v>
      </c>
      <c r="P70" s="177"/>
      <c r="Q70" s="177"/>
      <c r="R70" s="177">
        <f t="shared" ref="R70:R72" si="186">O70</f>
        <v>1.036</v>
      </c>
      <c r="S70" s="177"/>
      <c r="T70" s="177"/>
      <c r="U70" s="177">
        <f t="shared" ref="U70:U72" si="187">R70</f>
        <v>1.036</v>
      </c>
      <c r="V70" s="177"/>
      <c r="W70" s="177"/>
      <c r="X70" s="177">
        <f t="shared" ref="X70:X72" si="188">U70</f>
        <v>1.036</v>
      </c>
      <c r="Y70" s="177"/>
      <c r="Z70" s="177"/>
      <c r="AA70" s="177">
        <f t="shared" ref="AA70:AA72" si="189">X70</f>
        <v>1.036</v>
      </c>
      <c r="AB70" s="177"/>
      <c r="AC70" s="177"/>
      <c r="AD70" s="177">
        <f t="shared" ref="AD70:AD72" si="190">AA70</f>
        <v>1.036</v>
      </c>
      <c r="AE70" s="177"/>
      <c r="AF70" s="177"/>
      <c r="AG70" s="177">
        <f t="shared" ref="AG70:AG72" si="191">AD70</f>
        <v>1.036</v>
      </c>
      <c r="AH70" s="177"/>
      <c r="AI70" s="177"/>
      <c r="AJ70" s="177">
        <f t="shared" ref="AJ70:AJ72" si="192">AG70</f>
        <v>1.036</v>
      </c>
      <c r="AK70" s="177"/>
      <c r="AL70" s="177"/>
      <c r="AM70" s="177">
        <f t="shared" ref="AM70:AM72" si="193">AJ70</f>
        <v>1.036</v>
      </c>
      <c r="AN70" s="177"/>
      <c r="AO70" s="177"/>
      <c r="AP70" s="177">
        <f t="shared" ref="AP70:AP72" si="194">AM70</f>
        <v>1.036</v>
      </c>
      <c r="AQ70" s="177"/>
      <c r="AR70" s="177"/>
      <c r="AS70" s="177">
        <f t="shared" ref="AS70:AS72" si="195">AP70</f>
        <v>1.036</v>
      </c>
      <c r="AT70" s="177"/>
      <c r="AU70" s="177"/>
      <c r="AV70" s="177">
        <f t="shared" ref="AV70:AV72" si="196">AS70</f>
        <v>1.036</v>
      </c>
      <c r="AW70" s="177"/>
      <c r="AX70" s="177"/>
      <c r="AY70" s="177">
        <f t="shared" ref="AY70:AY72" si="197">AV70</f>
        <v>1.036</v>
      </c>
      <c r="AZ70" s="177"/>
      <c r="BA70" s="177"/>
      <c r="BB70" s="177">
        <f t="shared" ref="BB70:BB72" si="198">AY70</f>
        <v>1.036</v>
      </c>
      <c r="BC70" s="177"/>
      <c r="BD70" s="177"/>
      <c r="BE70" s="177">
        <f t="shared" ref="BE70:BE72" si="199">BB70</f>
        <v>1.036</v>
      </c>
      <c r="BF70" s="177"/>
      <c r="BG70" s="177"/>
      <c r="BH70" s="177">
        <f t="shared" ref="BH70:BH72" si="200">BE70</f>
        <v>1.036</v>
      </c>
      <c r="BI70" s="177"/>
      <c r="BJ70" s="177"/>
      <c r="BK70" s="177">
        <f t="shared" ref="BK70:BK72" si="201">BH70</f>
        <v>1.036</v>
      </c>
      <c r="BL70" s="177"/>
      <c r="BM70" s="177"/>
      <c r="BN70" s="177">
        <f t="shared" ref="BN70:BN72" si="202">BK70</f>
        <v>1.036</v>
      </c>
      <c r="BO70" s="177"/>
      <c r="BP70" s="177"/>
      <c r="BQ70" s="177">
        <f t="shared" ref="BQ70:BQ72" si="203">BN70</f>
        <v>1.036</v>
      </c>
      <c r="BR70" s="177"/>
      <c r="BS70" s="177"/>
      <c r="BT70" s="178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>
        <f t="shared" ref="CD70:CD72" si="204">O70</f>
        <v>1.036</v>
      </c>
      <c r="CE70" s="177"/>
      <c r="CF70" s="177"/>
      <c r="CG70" s="177">
        <f t="shared" ref="CG70:CG72" si="205">CD70</f>
        <v>1.036</v>
      </c>
      <c r="CH70" s="177"/>
      <c r="CI70" s="177"/>
      <c r="CJ70" s="177">
        <f t="shared" ref="CJ70:CJ72" si="206">CG70</f>
        <v>1.036</v>
      </c>
      <c r="CK70" s="177"/>
      <c r="CL70" s="177"/>
      <c r="CM70" s="177">
        <f t="shared" ref="CM70:CM72" si="207">CJ70</f>
        <v>1.036</v>
      </c>
      <c r="CN70" s="177"/>
      <c r="CO70" s="177"/>
      <c r="CP70" s="177">
        <f t="shared" ref="CP70:CP72" si="208">CM70</f>
        <v>1.036</v>
      </c>
      <c r="CQ70" s="177"/>
      <c r="CR70" s="177"/>
      <c r="CS70" s="177">
        <f t="shared" ref="CS70:CS72" si="209">CP70</f>
        <v>1.036</v>
      </c>
      <c r="CT70" s="177"/>
      <c r="CU70" s="177"/>
      <c r="CV70" s="177">
        <f t="shared" ref="CV70:CV72" si="210">CS70</f>
        <v>1.036</v>
      </c>
      <c r="CW70" s="177"/>
      <c r="CX70" s="177"/>
      <c r="CY70" s="177">
        <f t="shared" ref="CY70:CY72" si="211">CV70</f>
        <v>1.036</v>
      </c>
      <c r="CZ70" s="177"/>
      <c r="DA70" s="177"/>
      <c r="DB70" s="177">
        <f t="shared" ref="DB70:DB72" si="212">CY70</f>
        <v>1.036</v>
      </c>
      <c r="DC70" s="177"/>
      <c r="DD70" s="177"/>
      <c r="DE70" s="177">
        <f t="shared" ref="DE70:DE72" si="213">DB70</f>
        <v>1.036</v>
      </c>
      <c r="DF70" s="177"/>
      <c r="DG70" s="177"/>
      <c r="DH70" s="177">
        <f t="shared" ref="DH70:DH72" si="214">DE70</f>
        <v>1.036</v>
      </c>
      <c r="DI70" s="177"/>
      <c r="DJ70" s="177"/>
      <c r="DK70" s="177">
        <f t="shared" ref="DK70:DK72" si="215">DH70</f>
        <v>1.036</v>
      </c>
      <c r="DL70" s="177"/>
      <c r="DM70" s="177"/>
      <c r="DN70" s="177">
        <f t="shared" ref="DN70:DN72" si="216">DK70</f>
        <v>1.036</v>
      </c>
      <c r="DO70" s="177"/>
      <c r="DP70" s="177"/>
      <c r="DQ70" s="177">
        <f t="shared" ref="DQ70:DQ72" si="217">DN70</f>
        <v>1.036</v>
      </c>
      <c r="DR70" s="177"/>
      <c r="DS70" s="177"/>
      <c r="DT70" s="177">
        <f t="shared" ref="DT70:DT72" si="218">DQ70</f>
        <v>1.036</v>
      </c>
      <c r="DU70" s="177"/>
      <c r="DV70" s="177"/>
      <c r="DW70" s="177">
        <f t="shared" ref="DW70:DW72" si="219">DT70</f>
        <v>1.036</v>
      </c>
      <c r="DX70" s="177"/>
      <c r="DY70" s="177"/>
      <c r="DZ70" s="177">
        <f t="shared" ref="DZ70:DZ72" si="220">DW70</f>
        <v>1.036</v>
      </c>
      <c r="EA70" s="177"/>
      <c r="EB70" s="177"/>
      <c r="EC70" s="177">
        <f t="shared" ref="EC70:EC72" si="221">DZ70</f>
        <v>1.036</v>
      </c>
      <c r="ED70" s="177"/>
      <c r="EE70" s="177"/>
      <c r="EF70" s="177">
        <f t="shared" ref="EF70:EF72" si="222">EC70</f>
        <v>1.036</v>
      </c>
      <c r="EG70" s="177"/>
      <c r="EH70" s="177"/>
    </row>
    <row r="71" spans="1:140">
      <c r="A71" s="175"/>
      <c r="B71" s="176" t="s">
        <v>670</v>
      </c>
      <c r="C71" s="177"/>
      <c r="D71" s="177"/>
      <c r="E71" s="178"/>
      <c r="F71" s="177"/>
      <c r="G71" s="177"/>
      <c r="H71" s="177"/>
      <c r="I71" s="177"/>
      <c r="J71" s="177"/>
      <c r="K71" s="177"/>
      <c r="L71" s="177"/>
      <c r="M71" s="177"/>
      <c r="N71" s="177"/>
      <c r="O71" s="177">
        <v>1.038</v>
      </c>
      <c r="P71" s="177"/>
      <c r="Q71" s="177"/>
      <c r="R71" s="177">
        <f t="shared" si="186"/>
        <v>1.038</v>
      </c>
      <c r="S71" s="177"/>
      <c r="T71" s="177"/>
      <c r="U71" s="177">
        <f t="shared" si="187"/>
        <v>1.038</v>
      </c>
      <c r="V71" s="177"/>
      <c r="W71" s="177"/>
      <c r="X71" s="177">
        <f t="shared" si="188"/>
        <v>1.038</v>
      </c>
      <c r="Y71" s="177"/>
      <c r="Z71" s="177"/>
      <c r="AA71" s="177">
        <f t="shared" si="189"/>
        <v>1.038</v>
      </c>
      <c r="AB71" s="177"/>
      <c r="AC71" s="177"/>
      <c r="AD71" s="177">
        <f t="shared" si="190"/>
        <v>1.038</v>
      </c>
      <c r="AE71" s="177"/>
      <c r="AF71" s="177"/>
      <c r="AG71" s="177">
        <f t="shared" si="191"/>
        <v>1.038</v>
      </c>
      <c r="AH71" s="177"/>
      <c r="AI71" s="177"/>
      <c r="AJ71" s="177">
        <f t="shared" si="192"/>
        <v>1.038</v>
      </c>
      <c r="AK71" s="177"/>
      <c r="AL71" s="177"/>
      <c r="AM71" s="177">
        <f t="shared" si="193"/>
        <v>1.038</v>
      </c>
      <c r="AN71" s="177"/>
      <c r="AO71" s="177"/>
      <c r="AP71" s="177">
        <f t="shared" si="194"/>
        <v>1.038</v>
      </c>
      <c r="AQ71" s="177"/>
      <c r="AR71" s="177"/>
      <c r="AS71" s="177">
        <f t="shared" si="195"/>
        <v>1.038</v>
      </c>
      <c r="AT71" s="177"/>
      <c r="AU71" s="177"/>
      <c r="AV71" s="177">
        <f t="shared" si="196"/>
        <v>1.038</v>
      </c>
      <c r="AW71" s="177"/>
      <c r="AX71" s="177"/>
      <c r="AY71" s="177">
        <f t="shared" si="197"/>
        <v>1.038</v>
      </c>
      <c r="AZ71" s="177"/>
      <c r="BA71" s="177"/>
      <c r="BB71" s="177">
        <f t="shared" si="198"/>
        <v>1.038</v>
      </c>
      <c r="BC71" s="177"/>
      <c r="BD71" s="177"/>
      <c r="BE71" s="177">
        <f t="shared" si="199"/>
        <v>1.038</v>
      </c>
      <c r="BF71" s="177"/>
      <c r="BG71" s="177"/>
      <c r="BH71" s="177">
        <f t="shared" si="200"/>
        <v>1.038</v>
      </c>
      <c r="BI71" s="177"/>
      <c r="BJ71" s="177"/>
      <c r="BK71" s="177">
        <f t="shared" si="201"/>
        <v>1.038</v>
      </c>
      <c r="BL71" s="177"/>
      <c r="BM71" s="177"/>
      <c r="BN71" s="177">
        <f t="shared" si="202"/>
        <v>1.038</v>
      </c>
      <c r="BO71" s="177"/>
      <c r="BP71" s="177"/>
      <c r="BQ71" s="177">
        <f t="shared" si="203"/>
        <v>1.038</v>
      </c>
      <c r="BR71" s="177"/>
      <c r="BS71" s="177"/>
      <c r="BT71" s="178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>
        <f t="shared" si="204"/>
        <v>1.038</v>
      </c>
      <c r="CE71" s="177"/>
      <c r="CF71" s="177"/>
      <c r="CG71" s="177">
        <f t="shared" si="205"/>
        <v>1.038</v>
      </c>
      <c r="CH71" s="177"/>
      <c r="CI71" s="177"/>
      <c r="CJ71" s="177">
        <f t="shared" si="206"/>
        <v>1.038</v>
      </c>
      <c r="CK71" s="177"/>
      <c r="CL71" s="177"/>
      <c r="CM71" s="177">
        <f t="shared" si="207"/>
        <v>1.038</v>
      </c>
      <c r="CN71" s="177"/>
      <c r="CO71" s="177"/>
      <c r="CP71" s="177">
        <f t="shared" si="208"/>
        <v>1.038</v>
      </c>
      <c r="CQ71" s="177"/>
      <c r="CR71" s="177"/>
      <c r="CS71" s="177">
        <f t="shared" si="209"/>
        <v>1.038</v>
      </c>
      <c r="CT71" s="177"/>
      <c r="CU71" s="177"/>
      <c r="CV71" s="177">
        <f t="shared" si="210"/>
        <v>1.038</v>
      </c>
      <c r="CW71" s="177"/>
      <c r="CX71" s="177"/>
      <c r="CY71" s="177">
        <f t="shared" si="211"/>
        <v>1.038</v>
      </c>
      <c r="CZ71" s="177"/>
      <c r="DA71" s="177"/>
      <c r="DB71" s="177">
        <f t="shared" si="212"/>
        <v>1.038</v>
      </c>
      <c r="DC71" s="177"/>
      <c r="DD71" s="177"/>
      <c r="DE71" s="177">
        <f t="shared" si="213"/>
        <v>1.038</v>
      </c>
      <c r="DF71" s="177"/>
      <c r="DG71" s="177"/>
      <c r="DH71" s="177">
        <f t="shared" si="214"/>
        <v>1.038</v>
      </c>
      <c r="DI71" s="177"/>
      <c r="DJ71" s="177"/>
      <c r="DK71" s="177">
        <f t="shared" si="215"/>
        <v>1.038</v>
      </c>
      <c r="DL71" s="177"/>
      <c r="DM71" s="177"/>
      <c r="DN71" s="177">
        <f t="shared" si="216"/>
        <v>1.038</v>
      </c>
      <c r="DO71" s="177"/>
      <c r="DP71" s="177"/>
      <c r="DQ71" s="177">
        <f t="shared" si="217"/>
        <v>1.038</v>
      </c>
      <c r="DR71" s="177"/>
      <c r="DS71" s="177"/>
      <c r="DT71" s="177">
        <f t="shared" si="218"/>
        <v>1.038</v>
      </c>
      <c r="DU71" s="177"/>
      <c r="DV71" s="177"/>
      <c r="DW71" s="177">
        <f t="shared" si="219"/>
        <v>1.038</v>
      </c>
      <c r="DX71" s="177"/>
      <c r="DY71" s="177"/>
      <c r="DZ71" s="177">
        <f t="shared" si="220"/>
        <v>1.038</v>
      </c>
      <c r="EA71" s="177"/>
      <c r="EB71" s="177"/>
      <c r="EC71" s="177">
        <f t="shared" si="221"/>
        <v>1.038</v>
      </c>
      <c r="ED71" s="177"/>
      <c r="EE71" s="177"/>
      <c r="EF71" s="177">
        <f t="shared" si="222"/>
        <v>1.038</v>
      </c>
      <c r="EG71" s="177"/>
      <c r="EH71" s="177"/>
    </row>
    <row r="72" spans="1:140">
      <c r="A72" s="175"/>
      <c r="B72" s="176" t="s">
        <v>671</v>
      </c>
      <c r="C72" s="177"/>
      <c r="D72" s="177"/>
      <c r="E72" s="178"/>
      <c r="F72" s="177"/>
      <c r="G72" s="177"/>
      <c r="H72" s="177"/>
      <c r="I72" s="177"/>
      <c r="J72" s="177"/>
      <c r="K72" s="177"/>
      <c r="L72" s="177"/>
      <c r="M72" s="177"/>
      <c r="N72" s="177"/>
      <c r="O72" s="177">
        <v>1.044</v>
      </c>
      <c r="P72" s="177"/>
      <c r="Q72" s="177"/>
      <c r="R72" s="177">
        <f t="shared" si="186"/>
        <v>1.044</v>
      </c>
      <c r="S72" s="177"/>
      <c r="T72" s="177"/>
      <c r="U72" s="177">
        <f t="shared" si="187"/>
        <v>1.044</v>
      </c>
      <c r="V72" s="177"/>
      <c r="W72" s="177"/>
      <c r="X72" s="177">
        <f t="shared" si="188"/>
        <v>1.044</v>
      </c>
      <c r="Y72" s="177"/>
      <c r="Z72" s="177"/>
      <c r="AA72" s="177">
        <f t="shared" si="189"/>
        <v>1.044</v>
      </c>
      <c r="AB72" s="177"/>
      <c r="AC72" s="177"/>
      <c r="AD72" s="177">
        <f t="shared" si="190"/>
        <v>1.044</v>
      </c>
      <c r="AE72" s="177"/>
      <c r="AF72" s="177"/>
      <c r="AG72" s="177">
        <f t="shared" si="191"/>
        <v>1.044</v>
      </c>
      <c r="AH72" s="177"/>
      <c r="AI72" s="177"/>
      <c r="AJ72" s="177">
        <f t="shared" si="192"/>
        <v>1.044</v>
      </c>
      <c r="AK72" s="177"/>
      <c r="AL72" s="177"/>
      <c r="AM72" s="177">
        <f t="shared" si="193"/>
        <v>1.044</v>
      </c>
      <c r="AN72" s="177"/>
      <c r="AO72" s="177"/>
      <c r="AP72" s="177">
        <f t="shared" si="194"/>
        <v>1.044</v>
      </c>
      <c r="AQ72" s="177"/>
      <c r="AR72" s="177"/>
      <c r="AS72" s="177">
        <f t="shared" si="195"/>
        <v>1.044</v>
      </c>
      <c r="AT72" s="177"/>
      <c r="AU72" s="177"/>
      <c r="AV72" s="177">
        <f t="shared" si="196"/>
        <v>1.044</v>
      </c>
      <c r="AW72" s="177"/>
      <c r="AX72" s="177"/>
      <c r="AY72" s="177">
        <f t="shared" si="197"/>
        <v>1.044</v>
      </c>
      <c r="AZ72" s="177"/>
      <c r="BA72" s="177"/>
      <c r="BB72" s="177">
        <f t="shared" si="198"/>
        <v>1.044</v>
      </c>
      <c r="BC72" s="177"/>
      <c r="BD72" s="177"/>
      <c r="BE72" s="177">
        <f t="shared" si="199"/>
        <v>1.044</v>
      </c>
      <c r="BF72" s="177"/>
      <c r="BG72" s="177"/>
      <c r="BH72" s="177">
        <f t="shared" si="200"/>
        <v>1.044</v>
      </c>
      <c r="BI72" s="177"/>
      <c r="BJ72" s="177"/>
      <c r="BK72" s="177">
        <f t="shared" si="201"/>
        <v>1.044</v>
      </c>
      <c r="BL72" s="177"/>
      <c r="BM72" s="177"/>
      <c r="BN72" s="177">
        <f t="shared" si="202"/>
        <v>1.044</v>
      </c>
      <c r="BO72" s="177"/>
      <c r="BP72" s="177"/>
      <c r="BQ72" s="177">
        <f t="shared" si="203"/>
        <v>1.044</v>
      </c>
      <c r="BR72" s="177"/>
      <c r="BS72" s="177"/>
      <c r="BT72" s="178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>
        <f t="shared" si="204"/>
        <v>1.044</v>
      </c>
      <c r="CE72" s="177"/>
      <c r="CF72" s="177"/>
      <c r="CG72" s="177">
        <f t="shared" si="205"/>
        <v>1.044</v>
      </c>
      <c r="CH72" s="177"/>
      <c r="CI72" s="177"/>
      <c r="CJ72" s="177">
        <f t="shared" si="206"/>
        <v>1.044</v>
      </c>
      <c r="CK72" s="177"/>
      <c r="CL72" s="177"/>
      <c r="CM72" s="177">
        <f t="shared" si="207"/>
        <v>1.044</v>
      </c>
      <c r="CN72" s="177"/>
      <c r="CO72" s="177"/>
      <c r="CP72" s="177">
        <f t="shared" si="208"/>
        <v>1.044</v>
      </c>
      <c r="CQ72" s="177"/>
      <c r="CR72" s="177"/>
      <c r="CS72" s="177">
        <f t="shared" si="209"/>
        <v>1.044</v>
      </c>
      <c r="CT72" s="177"/>
      <c r="CU72" s="177"/>
      <c r="CV72" s="177">
        <f t="shared" si="210"/>
        <v>1.044</v>
      </c>
      <c r="CW72" s="177"/>
      <c r="CX72" s="177"/>
      <c r="CY72" s="177">
        <f t="shared" si="211"/>
        <v>1.044</v>
      </c>
      <c r="CZ72" s="177"/>
      <c r="DA72" s="177"/>
      <c r="DB72" s="177">
        <f t="shared" si="212"/>
        <v>1.044</v>
      </c>
      <c r="DC72" s="177"/>
      <c r="DD72" s="177"/>
      <c r="DE72" s="177">
        <f t="shared" si="213"/>
        <v>1.044</v>
      </c>
      <c r="DF72" s="177"/>
      <c r="DG72" s="177"/>
      <c r="DH72" s="177">
        <f t="shared" si="214"/>
        <v>1.044</v>
      </c>
      <c r="DI72" s="177"/>
      <c r="DJ72" s="177"/>
      <c r="DK72" s="177">
        <f t="shared" si="215"/>
        <v>1.044</v>
      </c>
      <c r="DL72" s="177"/>
      <c r="DM72" s="177"/>
      <c r="DN72" s="177">
        <f t="shared" si="216"/>
        <v>1.044</v>
      </c>
      <c r="DO72" s="177"/>
      <c r="DP72" s="177"/>
      <c r="DQ72" s="177">
        <f t="shared" si="217"/>
        <v>1.044</v>
      </c>
      <c r="DR72" s="177"/>
      <c r="DS72" s="177"/>
      <c r="DT72" s="177">
        <f t="shared" si="218"/>
        <v>1.044</v>
      </c>
      <c r="DU72" s="177"/>
      <c r="DV72" s="177"/>
      <c r="DW72" s="177">
        <f t="shared" si="219"/>
        <v>1.044</v>
      </c>
      <c r="DX72" s="177"/>
      <c r="DY72" s="177"/>
      <c r="DZ72" s="177">
        <f t="shared" si="220"/>
        <v>1.044</v>
      </c>
      <c r="EA72" s="177"/>
      <c r="EB72" s="177"/>
      <c r="EC72" s="177">
        <f t="shared" si="221"/>
        <v>1.044</v>
      </c>
      <c r="ED72" s="177"/>
      <c r="EE72" s="177"/>
      <c r="EF72" s="177">
        <f t="shared" si="222"/>
        <v>1.044</v>
      </c>
      <c r="EG72" s="177"/>
      <c r="EH72" s="177"/>
    </row>
    <row r="73" spans="1:140">
      <c r="N73" s="152"/>
      <c r="CC73" s="152"/>
    </row>
    <row r="74" spans="1:140">
      <c r="A74" s="175"/>
      <c r="B74" s="176" t="s">
        <v>672</v>
      </c>
      <c r="C74" s="177"/>
      <c r="D74" s="178">
        <f>E74+BT74</f>
        <v>17919738.099780902</v>
      </c>
      <c r="E74" s="178">
        <f>SUM(F74:BS74)</f>
        <v>10307086.292911632</v>
      </c>
      <c r="F74" s="179">
        <f t="shared" ref="F74:I74" si="223">F58</f>
        <v>295407.66207910184</v>
      </c>
      <c r="G74" s="179">
        <f t="shared" si="223"/>
        <v>306524.90614999982</v>
      </c>
      <c r="H74" s="179">
        <f t="shared" si="223"/>
        <v>315965.16945999995</v>
      </c>
      <c r="I74" s="178">
        <f t="shared" si="223"/>
        <v>308621.26254000008</v>
      </c>
      <c r="J74" s="178"/>
      <c r="K74" s="178"/>
      <c r="L74" s="178">
        <f>M58+N58</f>
        <v>311406.44291666697</v>
      </c>
      <c r="M74" s="178"/>
      <c r="N74" s="178"/>
      <c r="O74" s="178">
        <f>P58+Q58</f>
        <v>331618.24829266669</v>
      </c>
      <c r="P74" s="178"/>
      <c r="Q74" s="178"/>
      <c r="R74" s="178">
        <f>S58+T58</f>
        <v>344183.53045800002</v>
      </c>
      <c r="S74" s="178"/>
      <c r="T74" s="178"/>
      <c r="U74" s="178">
        <f>V58+W58</f>
        <v>357534.14275866665</v>
      </c>
      <c r="V74" s="178"/>
      <c r="W74" s="178"/>
      <c r="X74" s="178">
        <f>Y58+Z58</f>
        <v>371741.47884333337</v>
      </c>
      <c r="Y74" s="178"/>
      <c r="Z74" s="178"/>
      <c r="AA74" s="178">
        <f>AB58+AC58</f>
        <v>387587.99238666671</v>
      </c>
      <c r="AB74" s="178"/>
      <c r="AC74" s="178"/>
      <c r="AD74" s="178">
        <f>AE58+AF58</f>
        <v>405200.56574666675</v>
      </c>
      <c r="AE74" s="178"/>
      <c r="AF74" s="178"/>
      <c r="AG74" s="178">
        <f>AH58+AI58</f>
        <v>424030.26815999998</v>
      </c>
      <c r="AH74" s="178"/>
      <c r="AI74" s="178"/>
      <c r="AJ74" s="178">
        <f>AK58+AL58</f>
        <v>438413.73912000004</v>
      </c>
      <c r="AK74" s="178"/>
      <c r="AL74" s="178"/>
      <c r="AM74" s="178">
        <f>AN58+AO58</f>
        <v>447475.72768000001</v>
      </c>
      <c r="AN74" s="178"/>
      <c r="AO74" s="178"/>
      <c r="AP74" s="178">
        <f>AQ58+AR58</f>
        <v>456818.70813333336</v>
      </c>
      <c r="AQ74" s="178"/>
      <c r="AR74" s="178"/>
      <c r="AS74" s="178">
        <f>AT58+AU58</f>
        <v>469614.85330000002</v>
      </c>
      <c r="AT74" s="178"/>
      <c r="AU74" s="178"/>
      <c r="AV74" s="178">
        <f>AW58+AX58</f>
        <v>482950.95421333332</v>
      </c>
      <c r="AW74" s="178"/>
      <c r="AX74" s="178"/>
      <c r="AY74" s="178">
        <f>AZ58+BA58</f>
        <v>496777.94099999999</v>
      </c>
      <c r="AZ74" s="178"/>
      <c r="BA74" s="178"/>
      <c r="BB74" s="178">
        <f>BC58+BD58</f>
        <v>518103.46787891426</v>
      </c>
      <c r="BC74" s="178"/>
      <c r="BD74" s="178"/>
      <c r="BE74" s="178">
        <f>BF58+BG58</f>
        <v>537925.65328346123</v>
      </c>
      <c r="BF74" s="178"/>
      <c r="BG74" s="178"/>
      <c r="BH74" s="178">
        <f>BI58+BJ58</f>
        <v>551949.86964530242</v>
      </c>
      <c r="BI74" s="178"/>
      <c r="BJ74" s="178"/>
      <c r="BK74" s="178">
        <f>BL58+BM58</f>
        <v>566916.30051348568</v>
      </c>
      <c r="BL74" s="178"/>
      <c r="BM74" s="178"/>
      <c r="BN74" s="178">
        <f>BO58+BP58</f>
        <v>582267.212405244</v>
      </c>
      <c r="BO74" s="178"/>
      <c r="BP74" s="178"/>
      <c r="BQ74" s="178">
        <f>BR58+BS58</f>
        <v>598050.19594679005</v>
      </c>
      <c r="BR74" s="178"/>
      <c r="BS74" s="178"/>
      <c r="BT74" s="178">
        <f>SUM(BU74:EH74)</f>
        <v>7612651.8068692703</v>
      </c>
      <c r="BU74" s="179">
        <f t="shared" ref="BU74:BW74" si="224">BU58</f>
        <v>202889.59389249136</v>
      </c>
      <c r="BV74" s="179">
        <f t="shared" si="224"/>
        <v>212526.48332999999</v>
      </c>
      <c r="BW74" s="179">
        <f t="shared" si="224"/>
        <v>216804.58996000001</v>
      </c>
      <c r="BX74" s="178">
        <f>BY58+BZ58</f>
        <v>214532.02309166745</v>
      </c>
      <c r="BY74" s="178"/>
      <c r="BZ74" s="178"/>
      <c r="CA74" s="178">
        <f>CB58+CC58</f>
        <v>244410.59360195399</v>
      </c>
      <c r="CB74" s="178"/>
      <c r="CC74" s="178"/>
      <c r="CD74" s="178">
        <f>CE58+CF58</f>
        <v>250224.77748800002</v>
      </c>
      <c r="CE74" s="178"/>
      <c r="CF74" s="178"/>
      <c r="CG74" s="178">
        <f>CH58+CI58</f>
        <v>259704.55653600005</v>
      </c>
      <c r="CH74" s="178"/>
      <c r="CI74" s="178"/>
      <c r="CJ74" s="178">
        <f>CK58+CL58</f>
        <v>269751.98702400003</v>
      </c>
      <c r="CK74" s="178"/>
      <c r="CL74" s="178"/>
      <c r="CM74" s="178">
        <f>CN58+CO58</f>
        <v>280480.59924000001</v>
      </c>
      <c r="CN74" s="178"/>
      <c r="CO74" s="178"/>
      <c r="CP74" s="178">
        <f>CQ58+CR58</f>
        <v>292425.44922000001</v>
      </c>
      <c r="CQ74" s="178"/>
      <c r="CR74" s="178"/>
      <c r="CS74" s="178">
        <f>CT58+CU58</f>
        <v>305746.02382500004</v>
      </c>
      <c r="CT74" s="178"/>
      <c r="CU74" s="178"/>
      <c r="CV74" s="178">
        <f>CW58+CX58</f>
        <v>319977.40694999998</v>
      </c>
      <c r="CW74" s="178"/>
      <c r="CX74" s="178"/>
      <c r="CY74" s="178">
        <f>CZ58+DA58</f>
        <v>330806.47213083366</v>
      </c>
      <c r="CZ74" s="178"/>
      <c r="DA74" s="178"/>
      <c r="DB74" s="178">
        <f>DC58+DD58</f>
        <v>337676.79405833367</v>
      </c>
      <c r="DC74" s="178"/>
      <c r="DD74" s="178"/>
      <c r="DE74" s="178">
        <f>DF58+DG58</f>
        <v>344714.68481333368</v>
      </c>
      <c r="DF74" s="178"/>
      <c r="DG74" s="178"/>
      <c r="DH74" s="178">
        <f>DI58+DJ58</f>
        <v>354363.65080833301</v>
      </c>
      <c r="DI74" s="178"/>
      <c r="DJ74" s="178"/>
      <c r="DK74" s="178">
        <f>DL58+DM58</f>
        <v>364431.9501825</v>
      </c>
      <c r="DL74" s="178"/>
      <c r="DM74" s="178"/>
      <c r="DN74" s="178">
        <f>DO58+DP58</f>
        <v>374889.93992500001</v>
      </c>
      <c r="DO74" s="178"/>
      <c r="DP74" s="178"/>
      <c r="DQ74" s="178">
        <f>DR58+DS58</f>
        <v>375397.40789630736</v>
      </c>
      <c r="DR74" s="178"/>
      <c r="DS74" s="178"/>
      <c r="DT74" s="178">
        <f>DU58+DV58</f>
        <v>375290.23453696701</v>
      </c>
      <c r="DU74" s="178"/>
      <c r="DV74" s="178"/>
      <c r="DW74" s="178">
        <f>DX58+DY58</f>
        <v>393257.40517265303</v>
      </c>
      <c r="DX74" s="178"/>
      <c r="DY74" s="178"/>
      <c r="DZ74" s="178">
        <f>EA58+EB58</f>
        <v>411461.69097424898</v>
      </c>
      <c r="EA74" s="178"/>
      <c r="EB74" s="178"/>
      <c r="EC74" s="178">
        <f>ED58+EE58</f>
        <v>430504.39265282301</v>
      </c>
      <c r="ED74" s="178"/>
      <c r="EE74" s="178"/>
      <c r="EF74" s="178">
        <f>EG58+EH58</f>
        <v>450383.09955882502</v>
      </c>
      <c r="EG74" s="178"/>
      <c r="EH74" s="178"/>
    </row>
    <row r="75" spans="1:140" s="101" customFormat="1" ht="15.75">
      <c r="A75" s="180"/>
      <c r="B75" s="181" t="s">
        <v>673</v>
      </c>
      <c r="C75" s="182" t="s">
        <v>114</v>
      </c>
      <c r="D75" s="183">
        <f>E75+BT75</f>
        <v>3.9163914625532925E-3</v>
      </c>
      <c r="E75" s="183">
        <f>SUM(F75:BS75)</f>
        <v>1.0302755981683731E-8</v>
      </c>
      <c r="F75" s="183">
        <f t="shared" ref="F75:I75" si="225">F74-F58</f>
        <v>0</v>
      </c>
      <c r="G75" s="183">
        <f t="shared" si="225"/>
        <v>0</v>
      </c>
      <c r="H75" s="183">
        <f t="shared" si="225"/>
        <v>0</v>
      </c>
      <c r="I75" s="183">
        <f t="shared" si="225"/>
        <v>0</v>
      </c>
      <c r="J75" s="183"/>
      <c r="K75" s="183"/>
      <c r="L75" s="183">
        <f>L74-L58</f>
        <v>5.2386894822120667E-10</v>
      </c>
      <c r="M75" s="183"/>
      <c r="N75" s="183"/>
      <c r="O75" s="183">
        <f>O74-O58</f>
        <v>-4369.7779199994402</v>
      </c>
      <c r="P75" s="183"/>
      <c r="Q75" s="183"/>
      <c r="R75" s="183">
        <f>R74-R58</f>
        <v>-3025.4373209238402</v>
      </c>
      <c r="S75" s="183"/>
      <c r="T75" s="183"/>
      <c r="U75" s="183">
        <f>U74-U58</f>
        <v>-5879.5680225522374</v>
      </c>
      <c r="V75" s="183"/>
      <c r="W75" s="183"/>
      <c r="X75" s="183">
        <f>X74-X58</f>
        <v>-5643.7527083136956</v>
      </c>
      <c r="Y75" s="183"/>
      <c r="Z75" s="183"/>
      <c r="AA75" s="183">
        <f>AA74-AA58</f>
        <v>-1295.6112549014506</v>
      </c>
      <c r="AB75" s="183"/>
      <c r="AC75" s="183"/>
      <c r="AD75" s="183">
        <f>AD74-AD58</f>
        <v>-6410.9726497055381</v>
      </c>
      <c r="AE75" s="183"/>
      <c r="AF75" s="183"/>
      <c r="AG75" s="183">
        <f>AG74-AG58</f>
        <v>-9743.8072652009432</v>
      </c>
      <c r="AH75" s="183"/>
      <c r="AI75" s="183"/>
      <c r="AJ75" s="183">
        <f>AJ74-AJ58</f>
        <v>5.2386894822120667E-10</v>
      </c>
      <c r="AK75" s="183"/>
      <c r="AL75" s="183"/>
      <c r="AM75" s="183">
        <f>AM74-AM58</f>
        <v>5.8207660913467407E-10</v>
      </c>
      <c r="AN75" s="183"/>
      <c r="AO75" s="183"/>
      <c r="AP75" s="183">
        <f>AP74-AP58</f>
        <v>7.5669959187507629E-10</v>
      </c>
      <c r="AQ75" s="183"/>
      <c r="AR75" s="183"/>
      <c r="AS75" s="183">
        <f>AS74-AS58</f>
        <v>6.4028427004814148E-10</v>
      </c>
      <c r="AT75" s="183"/>
      <c r="AU75" s="183"/>
      <c r="AV75" s="183">
        <f>AV74-AV58</f>
        <v>5.8207660913467407E-10</v>
      </c>
      <c r="AW75" s="183"/>
      <c r="AX75" s="183"/>
      <c r="AY75" s="183">
        <f>AY74-AY58</f>
        <v>6.4028427004814148E-10</v>
      </c>
      <c r="AZ75" s="183"/>
      <c r="BA75" s="183"/>
      <c r="BB75" s="183">
        <f>BB74-BB58</f>
        <v>12051.034108836669</v>
      </c>
      <c r="BC75" s="183"/>
      <c r="BD75" s="183"/>
      <c r="BE75" s="183">
        <f>BE74-BE58</f>
        <v>8951.0764079337241</v>
      </c>
      <c r="BF75" s="183"/>
      <c r="BG75" s="183"/>
      <c r="BH75" s="183">
        <f>BH74-BH58</f>
        <v>9864.1955367678311</v>
      </c>
      <c r="BI75" s="183"/>
      <c r="BJ75" s="183"/>
      <c r="BK75" s="183">
        <f>BK74-BK58</f>
        <v>6048.324819917907</v>
      </c>
      <c r="BL75" s="183"/>
      <c r="BM75" s="183"/>
      <c r="BN75" s="183">
        <f>BN74-BN58</f>
        <v>1928.1894936694298</v>
      </c>
      <c r="BO75" s="183"/>
      <c r="BP75" s="183"/>
      <c r="BQ75" s="183">
        <f t="shared" ref="BQ75:BX75" si="226">BQ74-BQ58</f>
        <v>-2473.8932255223626</v>
      </c>
      <c r="BR75" s="183"/>
      <c r="BS75" s="183"/>
      <c r="BT75" s="183">
        <f>SUM(BU75:EH75)</f>
        <v>3.9163811597973108E-3</v>
      </c>
      <c r="BU75" s="183">
        <f t="shared" si="226"/>
        <v>0</v>
      </c>
      <c r="BV75" s="183">
        <f t="shared" si="226"/>
        <v>0</v>
      </c>
      <c r="BW75" s="183">
        <f t="shared" si="226"/>
        <v>0</v>
      </c>
      <c r="BX75" s="183">
        <f t="shared" si="226"/>
        <v>4.4416674936655909E-3</v>
      </c>
      <c r="BY75" s="183"/>
      <c r="BZ75" s="183"/>
      <c r="CA75" s="183">
        <f>CA74-CA58</f>
        <v>5.5297277867794037E-10</v>
      </c>
      <c r="CB75" s="183"/>
      <c r="CC75" s="183"/>
      <c r="CD75" s="183">
        <f>CD74-CD58</f>
        <v>4369.7779200004588</v>
      </c>
      <c r="CE75" s="183"/>
      <c r="CF75" s="183"/>
      <c r="CG75" s="183">
        <f>CG74-CG58</f>
        <v>3025.437320924917</v>
      </c>
      <c r="CH75" s="183"/>
      <c r="CI75" s="183"/>
      <c r="CJ75" s="183">
        <f>CJ74-CJ58</f>
        <v>5879.5680225532851</v>
      </c>
      <c r="CK75" s="183"/>
      <c r="CL75" s="183"/>
      <c r="CM75" s="183">
        <f>CM74-CM58</f>
        <v>5643.7527083148016</v>
      </c>
      <c r="CN75" s="183"/>
      <c r="CO75" s="183"/>
      <c r="CP75" s="183">
        <f>CP74-CP58</f>
        <v>1295.611254902673</v>
      </c>
      <c r="CQ75" s="183"/>
      <c r="CR75" s="183"/>
      <c r="CS75" s="183">
        <f>CS74-CS58</f>
        <v>6410.9726497067022</v>
      </c>
      <c r="CT75" s="183"/>
      <c r="CU75" s="183"/>
      <c r="CV75" s="183">
        <f>CV74-CV58</f>
        <v>9743.8072652018745</v>
      </c>
      <c r="CW75" s="183"/>
      <c r="CX75" s="183"/>
      <c r="CY75" s="183">
        <f>CY74-CY58</f>
        <v>8.7311491370201111E-10</v>
      </c>
      <c r="CZ75" s="183"/>
      <c r="DA75" s="183"/>
      <c r="DB75" s="183">
        <f>DB74-DB58</f>
        <v>8.7311491370201111E-10</v>
      </c>
      <c r="DC75" s="183"/>
      <c r="DD75" s="183"/>
      <c r="DE75" s="183">
        <f>DE74-DE58</f>
        <v>9.3132257461547852E-10</v>
      </c>
      <c r="DF75" s="183"/>
      <c r="DG75" s="183"/>
      <c r="DH75" s="183">
        <f>DH74-DH58</f>
        <v>0</v>
      </c>
      <c r="DI75" s="183"/>
      <c r="DJ75" s="183"/>
      <c r="DK75" s="183">
        <f>DK74-DK58</f>
        <v>6.4028427004814148E-10</v>
      </c>
      <c r="DL75" s="183"/>
      <c r="DM75" s="183"/>
      <c r="DN75" s="183">
        <f>DN74-DN58</f>
        <v>8.149072527885437E-10</v>
      </c>
      <c r="DO75" s="183"/>
      <c r="DP75" s="183"/>
      <c r="DQ75" s="183">
        <f>DQ74-DQ58</f>
        <v>-5500.1846341345226</v>
      </c>
      <c r="DR75" s="183"/>
      <c r="DS75" s="183"/>
      <c r="DT75" s="183">
        <f>DT74-DT58</f>
        <v>-15501.926407933002</v>
      </c>
      <c r="DU75" s="183"/>
      <c r="DV75" s="183"/>
      <c r="DW75" s="183">
        <f>DW74-DW58</f>
        <v>-9864.1955367668415</v>
      </c>
      <c r="DX75" s="183"/>
      <c r="DY75" s="183"/>
      <c r="DZ75" s="183">
        <f>DZ74-DZ58</f>
        <v>-6048.3248199160444</v>
      </c>
      <c r="EA75" s="183"/>
      <c r="EB75" s="183"/>
      <c r="EC75" s="183">
        <f>EC74-EC58</f>
        <v>-1928.1894936684985</v>
      </c>
      <c r="ED75" s="183"/>
      <c r="EE75" s="183"/>
      <c r="EF75" s="183">
        <f>EF74-EF58</f>
        <v>2473.8932255231775</v>
      </c>
      <c r="EG75" s="183"/>
      <c r="EH75" s="183"/>
    </row>
    <row r="76" spans="1:140">
      <c r="C76" s="169"/>
      <c r="D76" s="152"/>
      <c r="I76" s="108"/>
      <c r="L76" s="108"/>
      <c r="M76" s="108"/>
      <c r="N76" s="108"/>
      <c r="O76" s="108">
        <f>O75*0.8</f>
        <v>-3495.8223359995523</v>
      </c>
      <c r="P76" s="108"/>
      <c r="Q76" s="108"/>
      <c r="R76" s="108">
        <f>R75*0.8</f>
        <v>-2420.349856739072</v>
      </c>
      <c r="S76" s="108"/>
      <c r="T76" s="108"/>
      <c r="U76" s="108">
        <f>U75*0.8</f>
        <v>-4703.6544180417904</v>
      </c>
      <c r="V76" s="108"/>
      <c r="W76" s="108"/>
      <c r="X76" s="108">
        <f>X75*0.8</f>
        <v>-4515.0021666509565</v>
      </c>
      <c r="Y76" s="108"/>
      <c r="Z76" s="108"/>
      <c r="AA76" s="108">
        <f>AA75*0.8</f>
        <v>-1036.4890039211605</v>
      </c>
      <c r="AB76" s="108"/>
      <c r="AC76" s="108"/>
      <c r="AD76" s="108">
        <f>AD75*0.8</f>
        <v>-5128.7781197644308</v>
      </c>
      <c r="AE76" s="108"/>
      <c r="AF76" s="108"/>
      <c r="AG76" s="108">
        <v>-7795.0458121607599</v>
      </c>
      <c r="AH76" s="108"/>
      <c r="AI76" s="108"/>
      <c r="AJ76" s="108">
        <f>AJ75*0.8</f>
        <v>4.1909515857696534E-10</v>
      </c>
      <c r="AK76" s="108"/>
      <c r="AL76" s="108"/>
      <c r="AM76" s="108">
        <f>AM75*0.8</f>
        <v>4.6566128730773926E-10</v>
      </c>
      <c r="AN76" s="108"/>
      <c r="AO76" s="108"/>
      <c r="AP76" s="108">
        <f>AP75*0.8</f>
        <v>6.0535967350006106E-10</v>
      </c>
      <c r="AQ76" s="108"/>
      <c r="AR76" s="108"/>
      <c r="AS76" s="108">
        <f>AS75*0.8</f>
        <v>5.1222741603851322E-10</v>
      </c>
      <c r="AT76" s="108"/>
      <c r="AU76" s="108"/>
      <c r="AV76" s="108">
        <f>AV75*0.8</f>
        <v>4.6566128730773926E-10</v>
      </c>
      <c r="AW76" s="108"/>
      <c r="AX76" s="108"/>
      <c r="AY76" s="108">
        <f>AY75*0.8</f>
        <v>5.1222741603851322E-10</v>
      </c>
      <c r="AZ76" s="108"/>
      <c r="BA76" s="108"/>
      <c r="BB76" s="108">
        <f>BB75*0.8</f>
        <v>9640.8272870693363</v>
      </c>
      <c r="BC76" s="108"/>
      <c r="BD76" s="108"/>
      <c r="BE76" s="108">
        <f>BE75*0.8</f>
        <v>7160.8611263469793</v>
      </c>
      <c r="BF76" s="108"/>
      <c r="BG76" s="108"/>
      <c r="BH76" s="108">
        <f>BH75*0.8</f>
        <v>7891.3564294142652</v>
      </c>
      <c r="BI76" s="108"/>
      <c r="BJ76" s="108"/>
      <c r="BK76" s="108">
        <f>BK75*0.8</f>
        <v>4838.6598559343256</v>
      </c>
      <c r="BL76" s="108"/>
      <c r="BM76" s="108"/>
      <c r="BN76" s="108">
        <f>BN75*0.8</f>
        <v>1542.551594935544</v>
      </c>
      <c r="BO76" s="108"/>
      <c r="BP76" s="108"/>
      <c r="BQ76" s="108">
        <f>BQ75*0.8</f>
        <v>-1979.1145804178902</v>
      </c>
      <c r="BR76" s="108"/>
      <c r="BS76" s="108"/>
      <c r="BX76" s="108"/>
      <c r="BY76" s="108"/>
      <c r="BZ76" s="108"/>
      <c r="CA76" s="108"/>
      <c r="CB76" s="108"/>
      <c r="CC76" s="108"/>
      <c r="CD76" s="108">
        <f>CD75*0.8</f>
        <v>3495.8223360003672</v>
      </c>
      <c r="CE76" s="108"/>
      <c r="CF76" s="108"/>
      <c r="CG76" s="108">
        <f>CG75*0.8</f>
        <v>2420.3498567399338</v>
      </c>
      <c r="CH76" s="108"/>
      <c r="CI76" s="108"/>
      <c r="CJ76" s="108">
        <f>CJ75*0.8</f>
        <v>4703.6544180426281</v>
      </c>
      <c r="CK76" s="108"/>
      <c r="CL76" s="108"/>
      <c r="CM76" s="108">
        <f>CM75*0.8</f>
        <v>4515.0021666518414</v>
      </c>
      <c r="CN76" s="108"/>
      <c r="CO76" s="108"/>
      <c r="CP76" s="108">
        <f>CP75*0.8</f>
        <v>1036.4890039221384</v>
      </c>
      <c r="CQ76" s="108"/>
      <c r="CR76" s="108"/>
      <c r="CS76" s="108">
        <v>5128.7781197653203</v>
      </c>
      <c r="CT76" s="108"/>
      <c r="CU76" s="108"/>
      <c r="CV76" s="108">
        <f>CV75*0.8</f>
        <v>7795.0458121615002</v>
      </c>
      <c r="CW76" s="108"/>
      <c r="CX76" s="108"/>
      <c r="CY76" s="108">
        <f>CY75*0.8</f>
        <v>6.9849193096160889E-10</v>
      </c>
      <c r="CZ76" s="108"/>
      <c r="DA76" s="108"/>
      <c r="DB76" s="108">
        <f>DB75*0.8</f>
        <v>6.9849193096160889E-10</v>
      </c>
      <c r="DC76" s="108"/>
      <c r="DD76" s="108"/>
      <c r="DE76" s="108">
        <f>DE75*0.8</f>
        <v>7.4505805969238285E-10</v>
      </c>
      <c r="DF76" s="108"/>
      <c r="DG76" s="108"/>
      <c r="DH76" s="108">
        <f>DH75*0.8</f>
        <v>0</v>
      </c>
      <c r="DI76" s="108"/>
      <c r="DJ76" s="108"/>
      <c r="DK76" s="108">
        <f>DK75*0.8</f>
        <v>5.1222741603851322E-10</v>
      </c>
      <c r="DL76" s="108"/>
      <c r="DM76" s="108"/>
      <c r="DN76" s="108">
        <f>DN75*0.8</f>
        <v>6.5192580223083502E-10</v>
      </c>
      <c r="DO76" s="108"/>
      <c r="DP76" s="108"/>
      <c r="DQ76" s="108">
        <f>DQ75*0.8</f>
        <v>-4400.1477073076185</v>
      </c>
      <c r="DR76" s="108"/>
      <c r="DS76" s="108"/>
      <c r="DT76" s="108">
        <f>DT75*0.8</f>
        <v>-12401.541126346403</v>
      </c>
      <c r="DU76" s="108"/>
      <c r="DV76" s="108"/>
      <c r="DW76" s="108">
        <f>DW75*0.8</f>
        <v>-7891.356429413474</v>
      </c>
      <c r="DX76" s="108"/>
      <c r="DY76" s="108"/>
      <c r="DZ76" s="108">
        <f>DZ75*0.8</f>
        <v>-4838.6598559328359</v>
      </c>
      <c r="EA76" s="108"/>
      <c r="EB76" s="108"/>
      <c r="EC76" s="108">
        <f>EC75*0.8</f>
        <v>-1542.5515949347989</v>
      </c>
      <c r="ED76" s="108"/>
      <c r="EE76" s="108"/>
      <c r="EF76" s="108">
        <f>EF75*0.8</f>
        <v>1979.1145804185421</v>
      </c>
      <c r="EG76" s="108"/>
      <c r="EH76" s="108"/>
      <c r="EI76" s="108"/>
      <c r="EJ76" s="236"/>
    </row>
    <row r="77" spans="1:140"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</row>
    <row r="78" spans="1:140" ht="29.25">
      <c r="A78" s="184"/>
      <c r="B78" s="185" t="s">
        <v>674</v>
      </c>
      <c r="C78" s="186"/>
      <c r="D78" s="187">
        <f t="shared" ref="D78:I78" si="227">D46+D52+D48+D53</f>
        <v>1131928.0573914906</v>
      </c>
      <c r="E78" s="187">
        <f t="shared" si="227"/>
        <v>718196.61856286146</v>
      </c>
      <c r="F78" s="187">
        <f t="shared" si="227"/>
        <v>14746.554615148711</v>
      </c>
      <c r="G78" s="187">
        <f t="shared" si="227"/>
        <v>19275.050366867639</v>
      </c>
      <c r="H78" s="187">
        <f t="shared" si="227"/>
        <v>19660.740523978431</v>
      </c>
      <c r="I78" s="187">
        <f t="shared" si="227"/>
        <v>25514.456245615598</v>
      </c>
      <c r="J78" s="187"/>
      <c r="K78" s="187"/>
      <c r="L78" s="187">
        <f>L46+L52+L48+L53</f>
        <v>17688.068354278941</v>
      </c>
      <c r="M78" s="187"/>
      <c r="N78" s="187"/>
      <c r="O78" s="187">
        <f>O46+O52+O48+O53</f>
        <v>20728.360214194778</v>
      </c>
      <c r="P78" s="187"/>
      <c r="Q78" s="187"/>
      <c r="R78" s="187">
        <f>R46+R52+R48+R53</f>
        <v>19708.918227457187</v>
      </c>
      <c r="S78" s="187"/>
      <c r="T78" s="187"/>
      <c r="U78" s="187">
        <f>U46+U52+U48+U53</f>
        <v>21865.088185145669</v>
      </c>
      <c r="V78" s="187"/>
      <c r="W78" s="187"/>
      <c r="X78" s="187">
        <f>X46+X52+X48+X53</f>
        <v>25003.007881683101</v>
      </c>
      <c r="Y78" s="187"/>
      <c r="Z78" s="187"/>
      <c r="AA78" s="187">
        <f>AA46+AA52+AA48+AA53</f>
        <v>26230.04427686031</v>
      </c>
      <c r="AB78" s="187"/>
      <c r="AC78" s="187"/>
      <c r="AD78" s="187">
        <f>AD46+AD52+AD48+AD53</f>
        <v>36577.599036796179</v>
      </c>
      <c r="AE78" s="187"/>
      <c r="AF78" s="187"/>
      <c r="AG78" s="187">
        <f>AG46+AG52+AG48+AG53</f>
        <v>54953.996990449901</v>
      </c>
      <c r="AH78" s="187"/>
      <c r="AI78" s="187"/>
      <c r="AJ78" s="187">
        <f>AJ46+AJ52+AJ48+AJ53</f>
        <v>49446.078829507671</v>
      </c>
      <c r="AK78" s="187"/>
      <c r="AL78" s="187"/>
      <c r="AM78" s="187">
        <f>AM46+AM52+AM48+AM53</f>
        <v>45387.274371050538</v>
      </c>
      <c r="AN78" s="187"/>
      <c r="AO78" s="187"/>
      <c r="AP78" s="187">
        <f>AP46+AP52+AP48+AP53</f>
        <v>40889.979032005911</v>
      </c>
      <c r="AQ78" s="187"/>
      <c r="AR78" s="187"/>
      <c r="AS78" s="187">
        <f>AS46+AS52+AS48+AS53</f>
        <v>38716.483434800939</v>
      </c>
      <c r="AT78" s="187"/>
      <c r="AU78" s="187"/>
      <c r="AV78" s="187">
        <f>AV46+AV52+AV48+AV53</f>
        <v>36520.131244359109</v>
      </c>
      <c r="AW78" s="187"/>
      <c r="AX78" s="187"/>
      <c r="AY78" s="187">
        <f>AY46+AY52+AY48+AY53</f>
        <v>34244.986976741828</v>
      </c>
      <c r="AZ78" s="187"/>
      <c r="BA78" s="187"/>
      <c r="BB78" s="187">
        <f>BB46+BB52+BB48+BB53</f>
        <v>27839.055029359799</v>
      </c>
      <c r="BC78" s="187"/>
      <c r="BD78" s="187"/>
      <c r="BE78" s="187">
        <f>BE46+BE52+BE48+BE53</f>
        <v>31844.524609119901</v>
      </c>
      <c r="BF78" s="187"/>
      <c r="BG78" s="187"/>
      <c r="BH78" s="187">
        <f>BH46+BH52+BH48+BH53</f>
        <v>27839.055029359799</v>
      </c>
      <c r="BI78" s="187"/>
      <c r="BJ78" s="187"/>
      <c r="BK78" s="187">
        <f>BK46+BK52+BK48+BK53</f>
        <v>27839.055029359799</v>
      </c>
      <c r="BL78" s="187"/>
      <c r="BM78" s="187"/>
      <c r="BN78" s="187">
        <f>BN46+BN52+BN48+BN53</f>
        <v>27839.055029359799</v>
      </c>
      <c r="BO78" s="187"/>
      <c r="BP78" s="187"/>
      <c r="BQ78" s="187">
        <f t="shared" ref="BQ78:BX78" si="228">BQ46+BQ52+BQ48+BQ53</f>
        <v>27839.055029359799</v>
      </c>
      <c r="BR78" s="187"/>
      <c r="BS78" s="187"/>
      <c r="BT78" s="187">
        <f t="shared" si="228"/>
        <v>413731.43882862915</v>
      </c>
      <c r="BU78" s="187">
        <f t="shared" si="228"/>
        <v>4978.2687360377204</v>
      </c>
      <c r="BV78" s="187">
        <f t="shared" si="228"/>
        <v>11465.42088228491</v>
      </c>
      <c r="BW78" s="187">
        <f t="shared" si="228"/>
        <v>17943.92614268824</v>
      </c>
      <c r="BX78" s="187">
        <f t="shared" si="228"/>
        <v>1991.0670877177299</v>
      </c>
      <c r="BY78" s="187"/>
      <c r="BZ78" s="187"/>
      <c r="CA78" s="187">
        <f>CA46+CA52+CA48+CA53</f>
        <v>9049.5226422493288</v>
      </c>
      <c r="CB78" s="187"/>
      <c r="CC78" s="187"/>
      <c r="CD78" s="187">
        <f>CD46+CD52+CD48+CD53</f>
        <v>13125.218984790803</v>
      </c>
      <c r="CE78" s="187"/>
      <c r="CF78" s="187"/>
      <c r="CG78" s="187">
        <f>CG46+CG52+CG48+CG53</f>
        <v>14366.862247210491</v>
      </c>
      <c r="CH78" s="187"/>
      <c r="CI78" s="187"/>
      <c r="CJ78" s="187">
        <f>CJ46+CJ52+CJ48+CJ53</f>
        <v>12222.43123254949</v>
      </c>
      <c r="CK78" s="187"/>
      <c r="CL78" s="187"/>
      <c r="CM78" s="187">
        <f>CM46+CM52+CM48+CM53</f>
        <v>14337.243578918529</v>
      </c>
      <c r="CN78" s="187"/>
      <c r="CO78" s="187"/>
      <c r="CP78" s="187">
        <f>CP46+CP52+CP48+CP53</f>
        <v>20931.97357237391</v>
      </c>
      <c r="CQ78" s="187"/>
      <c r="CR78" s="187"/>
      <c r="CS78" s="187">
        <f>CS46+CS52+CS48+CS53</f>
        <v>20794.062237829679</v>
      </c>
      <c r="CT78" s="187"/>
      <c r="CU78" s="187"/>
      <c r="CV78" s="187">
        <f>CV46+CV52+CV48+CV53</f>
        <v>24965.48827431702</v>
      </c>
      <c r="CW78" s="187"/>
      <c r="CX78" s="187"/>
      <c r="CY78" s="187">
        <f>CY46+CY52+CY48+CY53</f>
        <v>33972.754804991906</v>
      </c>
      <c r="CZ78" s="187"/>
      <c r="DA78" s="187"/>
      <c r="DB78" s="187">
        <f>DB46+DB52+DB48+DB53</f>
        <v>30898.708432695777</v>
      </c>
      <c r="DC78" s="187"/>
      <c r="DD78" s="187"/>
      <c r="DE78" s="187">
        <f>DE46+DE52+DE48+DE53</f>
        <v>27521.163443447131</v>
      </c>
      <c r="DF78" s="187"/>
      <c r="DG78" s="187"/>
      <c r="DH78" s="187">
        <f>DH46+DH52+DH48+DH53</f>
        <v>25898.487875213497</v>
      </c>
      <c r="DI78" s="187"/>
      <c r="DJ78" s="187"/>
      <c r="DK78" s="187">
        <f>DK46+DK52+DK48+DK53</f>
        <v>24264.858549859309</v>
      </c>
      <c r="DL78" s="187"/>
      <c r="DM78" s="187"/>
      <c r="DN78" s="187">
        <f>DN46+DN52+DN48+DN53</f>
        <v>22583.666838251942</v>
      </c>
      <c r="DO78" s="187"/>
      <c r="DP78" s="187"/>
      <c r="DQ78" s="187">
        <f>DQ46+DQ52+DQ48+DQ53</f>
        <v>16969.51454127087</v>
      </c>
      <c r="DR78" s="187"/>
      <c r="DS78" s="187"/>
      <c r="DT78" s="187">
        <f>DT46+DT52+DT48+DT53</f>
        <v>14078.327744786158</v>
      </c>
      <c r="DU78" s="187"/>
      <c r="DV78" s="187"/>
      <c r="DW78" s="187">
        <f>DW46+DW52+DW48+DW53</f>
        <v>12843.117744786199</v>
      </c>
      <c r="DX78" s="187"/>
      <c r="DY78" s="187"/>
      <c r="DZ78" s="187">
        <f>DZ46+DZ52+DZ48+DZ53</f>
        <v>12843.117744786199</v>
      </c>
      <c r="EA78" s="187"/>
      <c r="EB78" s="187"/>
      <c r="EC78" s="187">
        <f>EC46+EC52+EC48+EC53</f>
        <v>12843.117744786199</v>
      </c>
      <c r="ED78" s="187"/>
      <c r="EE78" s="187"/>
      <c r="EF78" s="187">
        <f>EF46+EF52+EF48+EF53</f>
        <v>12843.117744786199</v>
      </c>
      <c r="EG78" s="187"/>
      <c r="EH78" s="187"/>
      <c r="EI78" s="152">
        <f>EI46+EI52+EI48+EI53</f>
        <v>1131928.0573914906</v>
      </c>
      <c r="EJ78" s="152"/>
    </row>
    <row r="79" spans="1:140" s="97" customFormat="1">
      <c r="A79" s="106"/>
      <c r="B79" s="107" t="s">
        <v>675</v>
      </c>
      <c r="D79" s="171">
        <f>'[10]Прил 10 коррект'!D37+'[10]Прил 10 коррект'!D38+'[10]Прил 10 коррект'!D40</f>
        <v>1131928.0573914901</v>
      </c>
      <c r="E79" s="171">
        <f>'[10]Прил 10 коррект'!D14+'[10]Прил 10 коррект'!D15+'[10]Прил 10 коррект'!D17</f>
        <v>718196.61856286088</v>
      </c>
      <c r="F79" s="171">
        <f>'[10]Прил 10 коррект'!E14+'[10]Прил 10 коррект'!E15+'[10]Прил 10 коррект'!E17</f>
        <v>14746.554615148711</v>
      </c>
      <c r="G79" s="171">
        <f>'[10]Прил 10 коррект'!F14+'[10]Прил 10 коррект'!F15+'[10]Прил 10 коррект'!F17</f>
        <v>19275.050366867603</v>
      </c>
      <c r="H79" s="171">
        <f>'[10]Прил 10 коррект'!G14+'[10]Прил 10 коррект'!G15+'[10]Прил 10 коррект'!G17</f>
        <v>19660.740523978428</v>
      </c>
      <c r="I79" s="171">
        <f>'[10]Прил 10 коррект'!H14+'[10]Прил 10 коррект'!H15+'[10]Прил 10 коррект'!H17</f>
        <v>25514.456245615598</v>
      </c>
      <c r="J79" s="171"/>
      <c r="K79" s="171"/>
      <c r="L79" s="171">
        <f>'[10]Прил 10 коррект'!I14+'[10]Прил 10 коррект'!I15+'[10]Прил 10 коррект'!I17</f>
        <v>17688.068354278941</v>
      </c>
      <c r="M79" s="171"/>
      <c r="N79" s="171"/>
      <c r="O79" s="171">
        <f>'[10]Прил 10 коррект'!J14+'[10]Прил 10 коррект'!J15+'[10]Прил 10 коррект'!J17</f>
        <v>20728.360214194799</v>
      </c>
      <c r="P79" s="171"/>
      <c r="Q79" s="171"/>
      <c r="R79" s="171">
        <f>'[10]Прил 10 коррект'!K14+'[10]Прил 10 коррект'!K15+'[10]Прил 10 коррект'!K17</f>
        <v>19708.918227457201</v>
      </c>
      <c r="S79" s="171"/>
      <c r="T79" s="171"/>
      <c r="U79" s="171">
        <f>'[10]Прил 10 коррект'!L14+'[10]Прил 10 коррект'!L15+'[10]Прил 10 коррект'!L17</f>
        <v>21865.088185145691</v>
      </c>
      <c r="V79" s="171"/>
      <c r="W79" s="171"/>
      <c r="X79" s="171">
        <f>'[10]Прил 10 коррект'!M14+'[10]Прил 10 коррект'!M15+'[10]Прил 10 коррект'!M17</f>
        <v>25003.007881683101</v>
      </c>
      <c r="Y79" s="171"/>
      <c r="Z79" s="171"/>
      <c r="AA79" s="171">
        <f>'[10]Прил 10 коррект'!N14+'[10]Прил 10 коррект'!N15+'[10]Прил 10 коррект'!N17</f>
        <v>26230.044276860299</v>
      </c>
      <c r="AB79" s="171"/>
      <c r="AC79" s="171"/>
      <c r="AD79" s="171">
        <f>'[10]Прил 10 коррект'!O14+'[10]Прил 10 коррект'!O15+'[10]Прил 10 коррект'!O17</f>
        <v>36577.5990367962</v>
      </c>
      <c r="AE79" s="171"/>
      <c r="AF79" s="171"/>
      <c r="AG79" s="171">
        <f>'[10]Прил 10 коррект'!P14+'[10]Прил 10 коррект'!P15+'[10]Прил 10 коррект'!P17</f>
        <v>54953.996990449901</v>
      </c>
      <c r="AH79" s="171"/>
      <c r="AI79" s="171"/>
      <c r="AJ79" s="171">
        <f>'[10]Прил 10 коррект'!Q14+'[10]Прил 10 коррект'!Q15+'[10]Прил 10 коррект'!Q17</f>
        <v>49446.078829507685</v>
      </c>
      <c r="AK79" s="171"/>
      <c r="AL79" s="171"/>
      <c r="AM79" s="171">
        <f>'[10]Прил 10 коррект'!R14+'[10]Прил 10 коррект'!R15+'[10]Прил 10 коррект'!R17</f>
        <v>45387.274371050502</v>
      </c>
      <c r="AN79" s="171"/>
      <c r="AO79" s="171"/>
      <c r="AP79" s="171">
        <f>'[10]Прил 10 коррект'!S14+'[10]Прил 10 коррект'!S15+'[10]Прил 10 коррект'!S17</f>
        <v>40889.979032005896</v>
      </c>
      <c r="AQ79" s="171"/>
      <c r="AR79" s="171"/>
      <c r="AS79" s="171">
        <f>'[10]Прил 10 коррект'!T14+'[10]Прил 10 коррект'!T15+'[10]Прил 10 коррект'!T17</f>
        <v>38716.483434800903</v>
      </c>
      <c r="AT79" s="171"/>
      <c r="AU79" s="171"/>
      <c r="AV79" s="171">
        <f>'[10]Прил 10 коррект'!U14+'[10]Прил 10 коррект'!U15+'[10]Прил 10 коррект'!U17</f>
        <v>36520.131244359109</v>
      </c>
      <c r="AW79" s="171"/>
      <c r="AX79" s="171"/>
      <c r="AY79" s="171">
        <f>'[10]Прил 10 коррект'!V14+'[10]Прил 10 коррект'!V15+'[10]Прил 10 коррект'!V17</f>
        <v>34244.986976741828</v>
      </c>
      <c r="AZ79" s="171"/>
      <c r="BA79" s="171"/>
      <c r="BB79" s="171">
        <f>'[10]Прил 10 коррект'!W14+'[10]Прил 10 коррект'!W15+'[10]Прил 10 коррект'!W17</f>
        <v>27839.055029359799</v>
      </c>
      <c r="BC79" s="171"/>
      <c r="BD79" s="171"/>
      <c r="BE79" s="171">
        <f>'[10]Прил 10 коррект'!X14+'[10]Прил 10 коррект'!X15+'[10]Прил 10 коррект'!X17</f>
        <v>31844.524609119901</v>
      </c>
      <c r="BF79" s="171"/>
      <c r="BG79" s="171"/>
      <c r="BH79" s="171">
        <f>'[10]Прил 10 коррект'!AE14+'[10]Прил 10 коррект'!AE15+'[10]Прил 10 коррект'!AE17</f>
        <v>0</v>
      </c>
      <c r="BI79" s="171"/>
      <c r="BJ79" s="171"/>
      <c r="BK79" s="171">
        <f>'[10]Прил 10 коррект'!AH14+'[10]Прил 10 коррект'!AH15+'[10]Прил 10 коррект'!AH17</f>
        <v>0</v>
      </c>
      <c r="BL79" s="171"/>
      <c r="BM79" s="171"/>
      <c r="BN79" s="171">
        <f>'[10]Прил 10 коррект'!AK14+'[10]Прил 10 коррект'!AK15+'[10]Прил 10 коррект'!AK17</f>
        <v>0</v>
      </c>
      <c r="BO79" s="171"/>
      <c r="BP79" s="171"/>
      <c r="BQ79" s="171">
        <f>'[10]Прил 10 коррект'!AN14+'[10]Прил 10 коррект'!AN15+'[10]Прил 10 коррект'!AN17</f>
        <v>0</v>
      </c>
      <c r="BR79" s="171"/>
      <c r="BS79" s="171"/>
      <c r="BT79" s="171">
        <f>'[10]Прил 10 коррект'!D26+'[10]Прил 10 коррект'!D27+'[10]Прил 10 коррект'!D29</f>
        <v>413731.43882862898</v>
      </c>
      <c r="BU79" s="171">
        <f>'[10]Прил 10 коррект'!E26+'[10]Прил 10 коррект'!E27+'[10]Прил 10 коррект'!E29</f>
        <v>4978.2687360377204</v>
      </c>
      <c r="BV79" s="171">
        <f>'[10]Прил 10 коррект'!F26+'[10]Прил 10 коррект'!F27+'[10]Прил 10 коррект'!F29</f>
        <v>11465.4208822849</v>
      </c>
      <c r="BW79" s="171">
        <f>'[10]Прил 10 коррект'!G26+'[10]Прил 10 коррект'!G27+'[10]Прил 10 коррект'!G29</f>
        <v>17943.92614268824</v>
      </c>
      <c r="BX79" s="171">
        <f>'[10]Прил 10 коррект'!H26+'[10]Прил 10 коррект'!H27+'[10]Прил 10 коррект'!H29</f>
        <v>1991.0670877177299</v>
      </c>
      <c r="BY79" s="171"/>
      <c r="BZ79" s="171"/>
      <c r="CA79" s="171">
        <f>'[10]Прил 10 коррект'!I26+'[10]Прил 10 коррект'!I27+'[10]Прил 10 коррект'!I29</f>
        <v>9049.5226422493288</v>
      </c>
      <c r="CB79" s="171"/>
      <c r="CC79" s="171"/>
      <c r="CD79" s="171">
        <f>'[10]Прил 10 коррект'!J26+'[10]Прил 10 коррект'!J27+'[10]Прил 10 коррект'!J29</f>
        <v>13125.218984790779</v>
      </c>
      <c r="CE79" s="171"/>
      <c r="CF79" s="171"/>
      <c r="CG79" s="171">
        <f>'[10]Прил 10 коррект'!K26+'[10]Прил 10 коррект'!K27+'[10]Прил 10 коррект'!K29</f>
        <v>14366.8622472105</v>
      </c>
      <c r="CH79" s="171"/>
      <c r="CI79" s="171"/>
      <c r="CJ79" s="171">
        <f>'[10]Прил 10 коррект'!L26+'[10]Прил 10 коррект'!L27+'[10]Прил 10 коррект'!L29</f>
        <v>12222.431232549508</v>
      </c>
      <c r="CK79" s="171"/>
      <c r="CL79" s="171"/>
      <c r="CM79" s="171">
        <f>'[10]Прил 10 коррект'!M26+'[10]Прил 10 коррект'!M27+'[10]Прил 10 коррект'!M29</f>
        <v>14337.243578918551</v>
      </c>
      <c r="CN79" s="171"/>
      <c r="CO79" s="171"/>
      <c r="CP79" s="171">
        <f>'[10]Прил 10 коррект'!N26+'[10]Прил 10 коррект'!N27+'[10]Прил 10 коррект'!N29</f>
        <v>20931.97357237391</v>
      </c>
      <c r="CQ79" s="171"/>
      <c r="CR79" s="171"/>
      <c r="CS79" s="171">
        <f>'[10]Прил 10 коррект'!O26+'[10]Прил 10 коррект'!O27+'[10]Прил 10 коррект'!O29</f>
        <v>20794.062237829679</v>
      </c>
      <c r="CT79" s="171"/>
      <c r="CU79" s="171"/>
      <c r="CV79" s="171">
        <f>'[10]Прил 10 коррект'!P26+'[10]Прил 10 коррект'!P27+'[10]Прил 10 коррект'!P29</f>
        <v>24965.48827431702</v>
      </c>
      <c r="CW79" s="171"/>
      <c r="CX79" s="171"/>
      <c r="CY79" s="171">
        <f>'[10]Прил 10 коррект'!Q26+'[10]Прил 10 коррект'!Q27+'[10]Прил 10 коррект'!Q29</f>
        <v>33972.754804991891</v>
      </c>
      <c r="CZ79" s="171"/>
      <c r="DA79" s="171"/>
      <c r="DB79" s="171">
        <f>'[10]Прил 10 коррект'!R26+'[10]Прил 10 коррект'!R27+'[10]Прил 10 коррект'!R29</f>
        <v>30898.708432695799</v>
      </c>
      <c r="DC79" s="171"/>
      <c r="DD79" s="171"/>
      <c r="DE79" s="171">
        <f>'[10]Прил 10 коррект'!S26+'[10]Прил 10 коррект'!S27+'[10]Прил 10 коррект'!S29</f>
        <v>27521.163443447098</v>
      </c>
      <c r="DF79" s="171"/>
      <c r="DG79" s="171"/>
      <c r="DH79" s="171">
        <f>'[10]Прил 10 коррект'!T26+'[10]Прил 10 коррект'!T27+'[10]Прил 10 коррект'!T29</f>
        <v>25898.487875213497</v>
      </c>
      <c r="DI79" s="171"/>
      <c r="DJ79" s="171"/>
      <c r="DK79" s="171">
        <f>'[10]Прил 10 коррект'!U26+'[10]Прил 10 коррект'!U27+'[10]Прил 10 коррект'!U29</f>
        <v>24264.858549859298</v>
      </c>
      <c r="DL79" s="171"/>
      <c r="DM79" s="171"/>
      <c r="DN79" s="171">
        <f>'[10]Прил 10 коррект'!V26+'[10]Прил 10 коррект'!V27+'[10]Прил 10 коррект'!V29</f>
        <v>22583.666838251938</v>
      </c>
      <c r="DO79" s="171"/>
      <c r="DP79" s="171"/>
      <c r="DQ79" s="171">
        <f>'[10]Прил 10 коррект'!W26+'[10]Прил 10 коррект'!W27+'[10]Прил 10 коррект'!W29</f>
        <v>16969.51454127087</v>
      </c>
      <c r="DR79" s="171"/>
      <c r="DS79" s="171"/>
      <c r="DT79" s="171">
        <f>'[10]Прил 10 коррект'!X26+'[10]Прил 10 коррект'!X27+'[10]Прил 10 коррект'!X29</f>
        <v>14078.327744786158</v>
      </c>
      <c r="DU79" s="171"/>
      <c r="DV79" s="171"/>
      <c r="DW79" s="171">
        <f>'[10]Прил 10 коррект'!AE26+'[10]Прил 10 коррект'!AE27+'[10]Прил 10 коррект'!AE29</f>
        <v>0</v>
      </c>
      <c r="DX79" s="171"/>
      <c r="DY79" s="171"/>
      <c r="DZ79" s="171">
        <f>'[10]Прил 10 коррект'!AH26+'[10]Прил 10 коррект'!AH27+'[10]Прил 10 коррект'!AH29</f>
        <v>0</v>
      </c>
      <c r="EA79" s="171"/>
      <c r="EB79" s="171"/>
      <c r="EC79" s="171">
        <f>'[10]Прил 10 коррект'!AK26+'[10]Прил 10 коррект'!AK27+'[10]Прил 10 коррект'!AK29</f>
        <v>0</v>
      </c>
      <c r="ED79" s="171"/>
      <c r="EE79" s="171"/>
      <c r="EF79" s="171">
        <f>'[10]Прил 10 коррект'!AN26+'[10]Прил 10 коррект'!AN27+'[10]Прил 10 коррект'!AN29</f>
        <v>0</v>
      </c>
      <c r="EG79" s="171"/>
      <c r="EH79" s="171"/>
    </row>
    <row r="80" spans="1:140" s="98" customFormat="1" ht="30">
      <c r="A80" s="184"/>
      <c r="B80" s="185" t="s">
        <v>676</v>
      </c>
      <c r="C80" s="186"/>
      <c r="D80" s="188">
        <f t="shared" ref="D80:I80" si="229">D46+D52</f>
        <v>885527.34729149053</v>
      </c>
      <c r="E80" s="189">
        <f t="shared" si="229"/>
        <v>542665.32442031405</v>
      </c>
      <c r="F80" s="189">
        <f t="shared" si="229"/>
        <v>8458.76512</v>
      </c>
      <c r="G80" s="189">
        <f t="shared" si="229"/>
        <v>1858.0643</v>
      </c>
      <c r="H80" s="189">
        <f t="shared" si="229"/>
        <v>14609.55</v>
      </c>
      <c r="I80" s="189">
        <f t="shared" si="229"/>
        <v>18383.39</v>
      </c>
      <c r="J80" s="189"/>
      <c r="K80" s="189"/>
      <c r="L80" s="189">
        <f>L46+L52</f>
        <v>9957.5293408853995</v>
      </c>
      <c r="M80" s="189"/>
      <c r="N80" s="189"/>
      <c r="O80" s="189">
        <f>O46+O52</f>
        <v>10944.721671001476</v>
      </c>
      <c r="P80" s="189"/>
      <c r="Q80" s="189"/>
      <c r="R80" s="189">
        <f>R46+R52</f>
        <v>6374.654330461819</v>
      </c>
      <c r="S80" s="189"/>
      <c r="T80" s="189"/>
      <c r="U80" s="189">
        <f>U46+U52</f>
        <v>3112.8847663567685</v>
      </c>
      <c r="V80" s="189"/>
      <c r="W80" s="189"/>
      <c r="X80" s="189">
        <f>X46+X52</f>
        <v>4473.8714524129991</v>
      </c>
      <c r="Y80" s="189"/>
      <c r="Z80" s="189"/>
      <c r="AA80" s="189">
        <f>AA46+AA52</f>
        <v>4380.4805597046097</v>
      </c>
      <c r="AB80" s="189"/>
      <c r="AC80" s="189"/>
      <c r="AD80" s="189">
        <f>AD46+AD52</f>
        <v>16162.422318429599</v>
      </c>
      <c r="AE80" s="189"/>
      <c r="AF80" s="189"/>
      <c r="AG80" s="189">
        <f>AG46+AG52</f>
        <v>30231.330790096297</v>
      </c>
      <c r="AH80" s="189"/>
      <c r="AI80" s="189"/>
      <c r="AJ80" s="189">
        <f>AJ46+AJ52</f>
        <v>46919.004956087781</v>
      </c>
      <c r="AK80" s="189"/>
      <c r="AL80" s="189"/>
      <c r="AM80" s="189">
        <f>AM46+AM52</f>
        <v>45387.274371050538</v>
      </c>
      <c r="AN80" s="189"/>
      <c r="AO80" s="189"/>
      <c r="AP80" s="189">
        <f>AP46+AP52</f>
        <v>40889.979032005911</v>
      </c>
      <c r="AQ80" s="189"/>
      <c r="AR80" s="189"/>
      <c r="AS80" s="189">
        <f>AS46+AS52</f>
        <v>38716.483434800939</v>
      </c>
      <c r="AT80" s="189"/>
      <c r="AU80" s="189"/>
      <c r="AV80" s="189">
        <f>AV46+AV52</f>
        <v>36520.131244359109</v>
      </c>
      <c r="AW80" s="189"/>
      <c r="AX80" s="189"/>
      <c r="AY80" s="189">
        <f>AY46+AY52</f>
        <v>34244.986976741828</v>
      </c>
      <c r="AZ80" s="189"/>
      <c r="BA80" s="189"/>
      <c r="BB80" s="189">
        <f>BB46+BB52</f>
        <v>27839.055029359799</v>
      </c>
      <c r="BC80" s="189"/>
      <c r="BD80" s="189"/>
      <c r="BE80" s="189">
        <f>BE46+BE52</f>
        <v>31844.524609119901</v>
      </c>
      <c r="BF80" s="189"/>
      <c r="BG80" s="189"/>
      <c r="BH80" s="189">
        <f>BH46+BH52</f>
        <v>27839.055029359799</v>
      </c>
      <c r="BI80" s="189"/>
      <c r="BJ80" s="189"/>
      <c r="BK80" s="189">
        <f>BK46+BK52</f>
        <v>27839.055029359799</v>
      </c>
      <c r="BL80" s="189"/>
      <c r="BM80" s="189"/>
      <c r="BN80" s="189">
        <f>BN46+BN52</f>
        <v>27839.055029359799</v>
      </c>
      <c r="BO80" s="189"/>
      <c r="BP80" s="189"/>
      <c r="BQ80" s="189">
        <f t="shared" ref="BQ80:BX80" si="230">BQ46+BQ52</f>
        <v>27839.055029359799</v>
      </c>
      <c r="BR80" s="189"/>
      <c r="BS80" s="189"/>
      <c r="BT80" s="189">
        <f t="shared" si="230"/>
        <v>342862.02287117648</v>
      </c>
      <c r="BU80" s="189">
        <f t="shared" si="230"/>
        <v>2791.4819599999901</v>
      </c>
      <c r="BV80" s="189">
        <f t="shared" si="230"/>
        <v>971.39</v>
      </c>
      <c r="BW80" s="189">
        <f t="shared" si="230"/>
        <v>14614.650000000001</v>
      </c>
      <c r="BX80" s="189">
        <f t="shared" si="230"/>
        <v>0</v>
      </c>
      <c r="BY80" s="189"/>
      <c r="BZ80" s="189"/>
      <c r="CA80" s="189">
        <f>CA46+CA52</f>
        <v>6839.5949889762096</v>
      </c>
      <c r="CB80" s="189"/>
      <c r="CC80" s="189"/>
      <c r="CD80" s="189">
        <f>CD46+CD52</f>
        <v>10003.337330178021</v>
      </c>
      <c r="CE80" s="189"/>
      <c r="CF80" s="189"/>
      <c r="CG80" s="189">
        <f>CG46+CG52</f>
        <v>9621.5714496441906</v>
      </c>
      <c r="CH80" s="189"/>
      <c r="CI80" s="189"/>
      <c r="CJ80" s="189">
        <f>CJ46+CJ52</f>
        <v>4962.5263202757196</v>
      </c>
      <c r="CK80" s="189"/>
      <c r="CL80" s="189"/>
      <c r="CM80" s="189">
        <f>CM46+CM52</f>
        <v>6280.0704634451886</v>
      </c>
      <c r="CN80" s="189"/>
      <c r="CO80" s="189"/>
      <c r="CP80" s="189">
        <f>CP46+CP52</f>
        <v>12392.7277447862</v>
      </c>
      <c r="CQ80" s="189"/>
      <c r="CR80" s="189"/>
      <c r="CS80" s="189">
        <f>CS46+CS52</f>
        <v>12805.587744786199</v>
      </c>
      <c r="CT80" s="189"/>
      <c r="CU80" s="189"/>
      <c r="CV80" s="189">
        <f>CV46+CV52</f>
        <v>15235.393505522699</v>
      </c>
      <c r="CW80" s="189"/>
      <c r="CX80" s="189"/>
      <c r="CY80" s="189">
        <f>CY46+CY52</f>
        <v>32756.492958892617</v>
      </c>
      <c r="CZ80" s="189"/>
      <c r="DA80" s="189"/>
      <c r="DB80" s="189">
        <f>DB46+DB52</f>
        <v>30898.708432695777</v>
      </c>
      <c r="DC80" s="189"/>
      <c r="DD80" s="189"/>
      <c r="DE80" s="189">
        <f>DE46+DE52</f>
        <v>27521.163443447131</v>
      </c>
      <c r="DF80" s="189"/>
      <c r="DG80" s="189"/>
      <c r="DH80" s="189">
        <f>DH46+DH52</f>
        <v>25898.487875213497</v>
      </c>
      <c r="DI80" s="189"/>
      <c r="DJ80" s="189"/>
      <c r="DK80" s="189">
        <f>DK46+DK52</f>
        <v>24264.858549859309</v>
      </c>
      <c r="DL80" s="189"/>
      <c r="DM80" s="189"/>
      <c r="DN80" s="189">
        <f>DN46+DN52</f>
        <v>22583.666838251942</v>
      </c>
      <c r="DO80" s="189"/>
      <c r="DP80" s="189"/>
      <c r="DQ80" s="189">
        <f>DQ46+DQ52</f>
        <v>16969.51454127087</v>
      </c>
      <c r="DR80" s="189"/>
      <c r="DS80" s="189"/>
      <c r="DT80" s="189">
        <f>DT46+DT52</f>
        <v>14078.327744786158</v>
      </c>
      <c r="DU80" s="189"/>
      <c r="DV80" s="189"/>
      <c r="DW80" s="189">
        <f>DW46+DW52</f>
        <v>12843.117744786199</v>
      </c>
      <c r="DX80" s="189"/>
      <c r="DY80" s="189"/>
      <c r="DZ80" s="189">
        <f>DZ46+DZ52</f>
        <v>12843.117744786199</v>
      </c>
      <c r="EA80" s="189"/>
      <c r="EB80" s="189"/>
      <c r="EC80" s="189">
        <f>EC46+EC52</f>
        <v>12843.117744786199</v>
      </c>
      <c r="ED80" s="189"/>
      <c r="EE80" s="189"/>
      <c r="EF80" s="189">
        <f>EF46+EF52</f>
        <v>12843.117744786199</v>
      </c>
      <c r="EG80" s="189"/>
      <c r="EH80" s="189"/>
      <c r="EI80" s="152">
        <f>EI46+EI52</f>
        <v>885527.34729149053</v>
      </c>
      <c r="EJ80" s="152"/>
    </row>
    <row r="81" spans="1:138" s="102" customFormat="1">
      <c r="B81" s="190" t="s">
        <v>675</v>
      </c>
      <c r="D81" s="171">
        <f>'[10]Прил 10 коррект'!D37+'[10]Прил 10 коррект'!D38</f>
        <v>885527.34729149006</v>
      </c>
      <c r="E81" s="171">
        <f>'[10]Прил 10 коррект'!D14+'[10]Прил 10 коррект'!D15</f>
        <v>542665.32442031393</v>
      </c>
      <c r="F81" s="171">
        <f>'[10]Прил 10 коррект'!E14+'[10]Прил 10 коррект'!E15</f>
        <v>8458.76512</v>
      </c>
      <c r="G81" s="171">
        <f>'[10]Прил 10 коррект'!F14+'[10]Прил 10 коррект'!F15</f>
        <v>1858.0643</v>
      </c>
      <c r="H81" s="171">
        <f>'[10]Прил 10 коррект'!G14+'[10]Прил 10 коррект'!G15</f>
        <v>14609.55</v>
      </c>
      <c r="I81" s="171">
        <f>'[10]Прил 10 коррект'!H14+'[10]Прил 10 коррект'!H15</f>
        <v>18383.39</v>
      </c>
      <c r="J81" s="171"/>
      <c r="K81" s="171"/>
      <c r="L81" s="171">
        <f>'[10]Прил 10 коррект'!I14+'[10]Прил 10 коррект'!I15</f>
        <v>9957.5293408853995</v>
      </c>
      <c r="M81" s="171"/>
      <c r="N81" s="171"/>
      <c r="O81" s="171">
        <f>'[10]Прил 10 коррект'!J14+'[10]Прил 10 коррект'!J15</f>
        <v>10944.7216710015</v>
      </c>
      <c r="P81" s="171"/>
      <c r="Q81" s="171"/>
      <c r="R81" s="171">
        <f>'[10]Прил 10 коррект'!K14+'[10]Прил 10 коррект'!K15</f>
        <v>6374.6543304617999</v>
      </c>
      <c r="S81" s="171"/>
      <c r="T81" s="171"/>
      <c r="U81" s="171">
        <f>'[10]Прил 10 коррект'!L14+'[10]Прил 10 коррект'!L15</f>
        <v>3112.8847663567899</v>
      </c>
      <c r="V81" s="171"/>
      <c r="W81" s="171"/>
      <c r="X81" s="171">
        <f>'[10]Прил 10 коррект'!M14+'[10]Прил 10 коррект'!M15</f>
        <v>4473.871452413</v>
      </c>
      <c r="Y81" s="171"/>
      <c r="Z81" s="171"/>
      <c r="AA81" s="171">
        <f>'[10]Прил 10 коррект'!N14+'[10]Прил 10 коррект'!N15</f>
        <v>4380.4805597045997</v>
      </c>
      <c r="AB81" s="171"/>
      <c r="AC81" s="171"/>
      <c r="AD81" s="171">
        <f>'[10]Прил 10 коррект'!O14+'[10]Прил 10 коррект'!O15</f>
        <v>16162.422318429601</v>
      </c>
      <c r="AE81" s="171"/>
      <c r="AF81" s="171"/>
      <c r="AG81" s="171">
        <f>'[10]Прил 10 коррект'!P14+'[10]Прил 10 коррект'!P15</f>
        <v>30231.330790096297</v>
      </c>
      <c r="AH81" s="171"/>
      <c r="AI81" s="171"/>
      <c r="AJ81" s="171">
        <f>'[10]Прил 10 коррект'!Q14+'[10]Прил 10 коррект'!Q15</f>
        <v>46919.004956087796</v>
      </c>
      <c r="AK81" s="171"/>
      <c r="AL81" s="171"/>
      <c r="AM81" s="171">
        <f>'[10]Прил 10 коррект'!R14+'[10]Прил 10 коррект'!R15</f>
        <v>45387.274371050502</v>
      </c>
      <c r="AN81" s="171"/>
      <c r="AO81" s="171"/>
      <c r="AP81" s="171">
        <f>'[10]Прил 10 коррект'!S14+'[10]Прил 10 коррект'!S15</f>
        <v>40889.979032005896</v>
      </c>
      <c r="AQ81" s="171"/>
      <c r="AR81" s="171"/>
      <c r="AS81" s="171">
        <f>'[10]Прил 10 коррект'!T14+'[10]Прил 10 коррект'!T15</f>
        <v>38716.483434800903</v>
      </c>
      <c r="AT81" s="171"/>
      <c r="AU81" s="171"/>
      <c r="AV81" s="171">
        <f>'[10]Прил 10 коррект'!U14+'[10]Прил 10 коррект'!U15</f>
        <v>36520.131244359109</v>
      </c>
      <c r="AW81" s="171"/>
      <c r="AX81" s="171"/>
      <c r="AY81" s="171">
        <f>'[10]Прил 10 коррект'!V14+'[10]Прил 10 коррект'!V15</f>
        <v>34244.986976741828</v>
      </c>
      <c r="AZ81" s="171"/>
      <c r="BA81" s="171"/>
      <c r="BB81" s="171">
        <f>'[10]Прил 10 коррект'!W14+'[10]Прил 10 коррект'!W15</f>
        <v>27839.055029359799</v>
      </c>
      <c r="BC81" s="171"/>
      <c r="BD81" s="171"/>
      <c r="BE81" s="171">
        <f>'[10]Прил 10 коррект'!X14+'[10]Прил 10 коррект'!X15</f>
        <v>31844.524609119901</v>
      </c>
      <c r="BF81" s="171"/>
      <c r="BG81" s="171"/>
      <c r="BH81" s="171">
        <f>'[10]Прил 10 коррект'!AE14+'[10]Прил 10 коррект'!AE15</f>
        <v>0</v>
      </c>
      <c r="BI81" s="171"/>
      <c r="BJ81" s="171"/>
      <c r="BK81" s="171">
        <f>'[10]Прил 10 коррект'!AH14+'[10]Прил 10 коррект'!AH15</f>
        <v>0</v>
      </c>
      <c r="BL81" s="171"/>
      <c r="BM81" s="171"/>
      <c r="BN81" s="171">
        <f>'[10]Прил 10 коррект'!AK14+'[10]Прил 10 коррект'!AK15</f>
        <v>0</v>
      </c>
      <c r="BO81" s="171"/>
      <c r="BP81" s="171"/>
      <c r="BQ81" s="171">
        <f>'[10]Прил 10 коррект'!AN14+'[10]Прил 10 коррект'!AN15</f>
        <v>0</v>
      </c>
      <c r="BR81" s="171"/>
      <c r="BS81" s="171"/>
      <c r="BT81" s="171">
        <f>'[10]Прил 10 коррект'!D26+'[10]Прил 10 коррект'!D27</f>
        <v>342862.02287117625</v>
      </c>
      <c r="BU81" s="171">
        <f>'[10]Прил 10 коррект'!E26+'[10]Прил 10 коррект'!E27</f>
        <v>2791.4819599999901</v>
      </c>
      <c r="BV81" s="171">
        <f>'[10]Прил 10 коррект'!F26+'[10]Прил 10 коррект'!F27</f>
        <v>971.39</v>
      </c>
      <c r="BW81" s="171">
        <f>'[10]Прил 10 коррект'!G26+'[10]Прил 10 коррект'!G27</f>
        <v>14614.650000000001</v>
      </c>
      <c r="BX81" s="171">
        <f>'[10]Прил 10 коррект'!H26+'[10]Прил 10 коррект'!H27</f>
        <v>0</v>
      </c>
      <c r="BY81" s="171"/>
      <c r="BZ81" s="171"/>
      <c r="CA81" s="171">
        <f>'[10]Прил 10 коррект'!I26+'[10]Прил 10 коррект'!I27</f>
        <v>6839.5949889762096</v>
      </c>
      <c r="CB81" s="171"/>
      <c r="CC81" s="171"/>
      <c r="CD81" s="171">
        <f>'[10]Прил 10 коррект'!J26+'[10]Прил 10 коррект'!J27</f>
        <v>10003.337330177999</v>
      </c>
      <c r="CE81" s="171"/>
      <c r="CF81" s="171"/>
      <c r="CG81" s="171">
        <f>'[10]Прил 10 коррект'!K26+'[10]Прил 10 коррект'!K27</f>
        <v>9621.5714496441997</v>
      </c>
      <c r="CH81" s="171"/>
      <c r="CI81" s="171"/>
      <c r="CJ81" s="171">
        <f>'[10]Прил 10 коррект'!L26+'[10]Прил 10 коррект'!L27</f>
        <v>4962.5263202757396</v>
      </c>
      <c r="CK81" s="171"/>
      <c r="CL81" s="171"/>
      <c r="CM81" s="171">
        <f>'[10]Прил 10 коррект'!M26+'[10]Прил 10 коррект'!M27</f>
        <v>6280.0704634452104</v>
      </c>
      <c r="CN81" s="171"/>
      <c r="CO81" s="171"/>
      <c r="CP81" s="171">
        <f>'[10]Прил 10 коррект'!N26+'[10]Прил 10 коррект'!N27</f>
        <v>12392.7277447862</v>
      </c>
      <c r="CQ81" s="171"/>
      <c r="CR81" s="171"/>
      <c r="CS81" s="171">
        <f>'[10]Прил 10 коррект'!O26+'[10]Прил 10 коррект'!O27</f>
        <v>12805.5877447862</v>
      </c>
      <c r="CT81" s="171"/>
      <c r="CU81" s="171"/>
      <c r="CV81" s="171">
        <f>'[10]Прил 10 коррект'!P26+'[10]Прил 10 коррект'!P27</f>
        <v>15235.393505522699</v>
      </c>
      <c r="CW81" s="171"/>
      <c r="CX81" s="171"/>
      <c r="CY81" s="171">
        <f>'[10]Прил 10 коррект'!Q26+'[10]Прил 10 коррект'!Q27</f>
        <v>32756.492958892599</v>
      </c>
      <c r="CZ81" s="171"/>
      <c r="DA81" s="171"/>
      <c r="DB81" s="171">
        <f>'[10]Прил 10 коррект'!R26+'[10]Прил 10 коррект'!R27</f>
        <v>30898.708432695799</v>
      </c>
      <c r="DC81" s="171"/>
      <c r="DD81" s="171"/>
      <c r="DE81" s="171">
        <f>'[10]Прил 10 коррект'!S26+'[10]Прил 10 коррект'!S27</f>
        <v>27521.163443447098</v>
      </c>
      <c r="DF81" s="171"/>
      <c r="DG81" s="171"/>
      <c r="DH81" s="171">
        <f>'[10]Прил 10 коррект'!T26+'[10]Прил 10 коррект'!T27</f>
        <v>25898.487875213497</v>
      </c>
      <c r="DI81" s="171"/>
      <c r="DJ81" s="171"/>
      <c r="DK81" s="171">
        <f>'[10]Прил 10 коррект'!U26+'[10]Прил 10 коррект'!U27</f>
        <v>24264.858549859298</v>
      </c>
      <c r="DL81" s="171"/>
      <c r="DM81" s="171"/>
      <c r="DN81" s="171">
        <f>'[10]Прил 10 коррект'!V26+'[10]Прил 10 коррект'!V27</f>
        <v>22583.666838251938</v>
      </c>
      <c r="DO81" s="171"/>
      <c r="DP81" s="171"/>
      <c r="DQ81" s="171">
        <f>'[10]Прил 10 коррект'!W26+'[10]Прил 10 коррект'!W27</f>
        <v>16969.51454127087</v>
      </c>
      <c r="DR81" s="171"/>
      <c r="DS81" s="171"/>
      <c r="DT81" s="171">
        <f>'[10]Прил 10 коррект'!X26+'[10]Прил 10 коррект'!X27</f>
        <v>14078.327744786158</v>
      </c>
      <c r="DU81" s="171"/>
      <c r="DV81" s="171"/>
      <c r="DW81" s="171">
        <f>'[10]Прил 10 коррект'!AE26+'[10]Прил 10 коррект'!AE27</f>
        <v>0</v>
      </c>
      <c r="DX81" s="171"/>
      <c r="DY81" s="171"/>
      <c r="DZ81" s="171">
        <f>'[10]Прил 10 коррект'!AH26+'[10]Прил 10 коррект'!AH27</f>
        <v>0</v>
      </c>
      <c r="EA81" s="171"/>
      <c r="EB81" s="171"/>
      <c r="EC81" s="171">
        <f>'[10]Прил 10 коррект'!AK26+'[10]Прил 10 коррект'!AK27</f>
        <v>0</v>
      </c>
      <c r="ED81" s="171"/>
      <c r="EE81" s="171"/>
      <c r="EF81" s="171">
        <f>'[10]Прил 10 коррект'!AN26+'[10]Прил 10 коррект'!AN27</f>
        <v>0</v>
      </c>
      <c r="EG81" s="171"/>
      <c r="EH81" s="171"/>
    </row>
    <row r="82" spans="1:138" s="102" customFormat="1">
      <c r="B82" s="190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</row>
    <row r="83" spans="1:138" s="103" customFormat="1" ht="18.75">
      <c r="B83" s="191" t="s">
        <v>677</v>
      </c>
      <c r="D83" s="103">
        <f>SUM(F83:BE83)</f>
        <v>3.9163868641480803E-3</v>
      </c>
      <c r="F83" s="192">
        <f t="shared" ref="F83:I83" si="231">F75+BU75</f>
        <v>0</v>
      </c>
      <c r="G83" s="192">
        <f t="shared" si="231"/>
        <v>0</v>
      </c>
      <c r="H83" s="192">
        <f t="shared" si="231"/>
        <v>0</v>
      </c>
      <c r="I83" s="192">
        <f t="shared" si="231"/>
        <v>4.4416674936655909E-3</v>
      </c>
      <c r="J83" s="192"/>
      <c r="K83" s="192"/>
      <c r="L83" s="192">
        <f>L75+CA75</f>
        <v>1.076841726899147E-9</v>
      </c>
      <c r="M83" s="192"/>
      <c r="N83" s="192"/>
      <c r="O83" s="192">
        <f>O75+CD75</f>
        <v>1.0186340659856796E-9</v>
      </c>
      <c r="P83" s="192"/>
      <c r="Q83" s="192"/>
      <c r="R83" s="192">
        <f>R75+CG75</f>
        <v>1.076841726899147E-9</v>
      </c>
      <c r="S83" s="192"/>
      <c r="T83" s="192"/>
      <c r="U83" s="192">
        <f>U75+CJ75</f>
        <v>1.0477378964424133E-9</v>
      </c>
      <c r="V83" s="192"/>
      <c r="W83" s="192"/>
      <c r="X83" s="192">
        <f>X75+CM75</f>
        <v>1.1059455573558807E-9</v>
      </c>
      <c r="Y83" s="192"/>
      <c r="Z83" s="192"/>
      <c r="AA83" s="192">
        <f>AA75+CP75</f>
        <v>1.2223608791828156E-9</v>
      </c>
      <c r="AB83" s="192"/>
      <c r="AC83" s="192"/>
      <c r="AD83" s="192">
        <f>AD75+CS75</f>
        <v>1.1641532182693481E-9</v>
      </c>
      <c r="AE83" s="192"/>
      <c r="AF83" s="192"/>
      <c r="AG83" s="192">
        <f>AG75+CV75</f>
        <v>9.3132257461547852E-10</v>
      </c>
      <c r="AH83" s="192"/>
      <c r="AI83" s="192"/>
      <c r="AJ83" s="192">
        <f>AJ75+CY75</f>
        <v>1.3969838619232178E-9</v>
      </c>
      <c r="AK83" s="192"/>
      <c r="AL83" s="192"/>
      <c r="AM83" s="192">
        <f>AM75+DB75</f>
        <v>1.4551915228366852E-9</v>
      </c>
      <c r="AN83" s="192"/>
      <c r="AO83" s="192"/>
      <c r="AP83" s="192">
        <f>AP75+DE75</f>
        <v>1.6880221664905548E-9</v>
      </c>
      <c r="AQ83" s="192"/>
      <c r="AR83" s="192"/>
      <c r="AS83" s="192">
        <f>AS75+DH75</f>
        <v>6.4028427004814148E-10</v>
      </c>
      <c r="AT83" s="192"/>
      <c r="AU83" s="192"/>
      <c r="AV83" s="192">
        <f>AV75+DK75</f>
        <v>1.2223608791828156E-9</v>
      </c>
      <c r="AW83" s="192"/>
      <c r="AX83" s="192"/>
      <c r="AY83" s="192">
        <f>AY75+DN75</f>
        <v>1.4551915228366852E-9</v>
      </c>
      <c r="AZ83" s="192"/>
      <c r="BA83" s="192"/>
      <c r="BB83" s="192">
        <f>BB75+DQ75</f>
        <v>6550.8494747021468</v>
      </c>
      <c r="BC83" s="192"/>
      <c r="BD83" s="192"/>
      <c r="BE83" s="192">
        <f>BE75+DT75</f>
        <v>-6550.8499999992782</v>
      </c>
      <c r="BF83" s="192"/>
      <c r="BG83" s="192"/>
      <c r="BH83" s="192">
        <f>BH75+DW75</f>
        <v>9.8953023552894592E-10</v>
      </c>
      <c r="BI83" s="192"/>
      <c r="BJ83" s="192"/>
      <c r="BK83" s="192">
        <f>BK75+DZ75</f>
        <v>1.862645149230957E-9</v>
      </c>
      <c r="BL83" s="192"/>
      <c r="BM83" s="192"/>
      <c r="BN83" s="192">
        <f>BN75+EC75</f>
        <v>9.3132257461547852E-10</v>
      </c>
      <c r="BO83" s="192"/>
      <c r="BP83" s="192"/>
      <c r="BQ83" s="192">
        <f>BQ75+EF75</f>
        <v>8.149072527885437E-10</v>
      </c>
      <c r="BR83" s="192"/>
      <c r="BS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235"/>
      <c r="DX83" s="192"/>
      <c r="DY83" s="192"/>
      <c r="DZ83" s="235"/>
      <c r="EA83" s="192"/>
      <c r="EB83" s="192"/>
      <c r="EC83" s="235"/>
      <c r="ED83" s="192"/>
      <c r="EE83" s="192"/>
      <c r="EF83" s="235"/>
      <c r="EG83" s="192"/>
      <c r="EH83" s="192"/>
    </row>
    <row r="84" spans="1:138" s="102" customFormat="1">
      <c r="B84" s="190"/>
      <c r="F84" s="171"/>
      <c r="G84" s="171"/>
      <c r="H84" s="171"/>
      <c r="I84" s="171"/>
      <c r="J84" s="171"/>
      <c r="K84" s="171"/>
      <c r="L84" s="171"/>
      <c r="M84" s="171"/>
      <c r="N84" s="171"/>
      <c r="O84" s="171">
        <f>O83*0.8</f>
        <v>8.149072527885437E-10</v>
      </c>
      <c r="P84" s="171"/>
      <c r="Q84" s="171"/>
      <c r="R84" s="171">
        <f>R83*0.8</f>
        <v>8.6147338151931767E-10</v>
      </c>
      <c r="S84" s="171"/>
      <c r="T84" s="171"/>
      <c r="U84" s="171">
        <f>U83*0.8</f>
        <v>8.3819031715393068E-10</v>
      </c>
      <c r="V84" s="171"/>
      <c r="W84" s="231"/>
      <c r="X84" s="171">
        <f>X83*0.8</f>
        <v>8.8475644588470465E-10</v>
      </c>
      <c r="Y84" s="171"/>
      <c r="Z84" s="171"/>
      <c r="AA84" s="171">
        <v>4.6566128730773903E-11</v>
      </c>
      <c r="AB84" s="171"/>
      <c r="AC84" s="171"/>
      <c r="AD84" s="171">
        <f>AD83*0.8</f>
        <v>9.3132257461547852E-10</v>
      </c>
      <c r="AE84" s="171"/>
      <c r="AF84" s="171"/>
      <c r="AG84" s="171">
        <f>AG83*0.8</f>
        <v>7.4505805969238285E-10</v>
      </c>
      <c r="AH84" s="171"/>
      <c r="AI84" s="171"/>
      <c r="AJ84" s="171">
        <f>AJ83*0.8</f>
        <v>1.1175870895385744E-9</v>
      </c>
      <c r="AK84" s="171"/>
      <c r="AL84" s="171"/>
      <c r="AM84" s="171">
        <v>1.16415321826935E-9</v>
      </c>
      <c r="AN84" s="171"/>
      <c r="AO84" s="171"/>
      <c r="AP84" s="171">
        <f>AP83*0.8</f>
        <v>1.350417733192444E-9</v>
      </c>
      <c r="AQ84" s="171"/>
      <c r="AR84" s="171"/>
      <c r="AS84" s="171">
        <f>AS83*0.8</f>
        <v>5.1222741603851322E-10</v>
      </c>
      <c r="AT84" s="171"/>
      <c r="AU84" s="171"/>
      <c r="AV84" s="171">
        <f>AV83*0.8</f>
        <v>9.7788870334625248E-10</v>
      </c>
      <c r="AW84" s="171"/>
      <c r="AX84" s="171"/>
      <c r="AY84" s="171">
        <f>AY83*0.8</f>
        <v>1.1641532182693481E-9</v>
      </c>
      <c r="AZ84" s="171"/>
      <c r="BA84" s="171"/>
      <c r="BB84" s="171">
        <f>BB83*0.8</f>
        <v>5240.6795797617178</v>
      </c>
      <c r="BC84" s="171"/>
      <c r="BD84" s="171"/>
      <c r="BE84" s="171">
        <v>-5240.6799999999803</v>
      </c>
      <c r="BF84" s="171"/>
      <c r="BG84" s="171"/>
      <c r="BH84" s="171">
        <f>BH83*0.8</f>
        <v>7.9162418842315682E-10</v>
      </c>
      <c r="BI84" s="171"/>
      <c r="BJ84" s="171"/>
      <c r="BK84" s="171">
        <v>1.2572854757309E-9</v>
      </c>
      <c r="BL84" s="171"/>
      <c r="BM84" s="171"/>
      <c r="BN84" s="171">
        <f>BN83*0.8</f>
        <v>7.4505805969238285E-10</v>
      </c>
      <c r="BO84" s="171"/>
      <c r="BP84" s="171"/>
      <c r="BQ84" s="171">
        <f>BQ83*0.8</f>
        <v>6.5192580223083502E-10</v>
      </c>
      <c r="BR84" s="171"/>
      <c r="BS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</row>
    <row r="85" spans="1:138" s="102" customFormat="1">
      <c r="B85" s="190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231"/>
      <c r="BI85" s="171"/>
      <c r="BJ85" s="171"/>
      <c r="BK85" s="231"/>
      <c r="BL85" s="171"/>
      <c r="BM85" s="171"/>
      <c r="BN85" s="231"/>
      <c r="BO85" s="171"/>
      <c r="BP85" s="171"/>
      <c r="BQ85" s="231"/>
      <c r="BR85" s="171"/>
      <c r="BS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</row>
    <row r="86" spans="1:138" s="104" customFormat="1" ht="28.5">
      <c r="A86" s="193"/>
      <c r="B86" s="194" t="s">
        <v>678</v>
      </c>
      <c r="C86" s="193"/>
      <c r="D86" s="193">
        <f t="shared" ref="D86:D88" si="232">SUM(F86:BQ86)</f>
        <v>783529.36629490578</v>
      </c>
      <c r="E86" s="193"/>
      <c r="F86" s="187">
        <f>'[10]свод Инв.обяз.'!O4</f>
        <v>11277.5848541832</v>
      </c>
      <c r="G86" s="187">
        <f>'[10]свод Инв.обяз.'!O5</f>
        <v>16900.965152567202</v>
      </c>
      <c r="H86" s="187">
        <f>'[10]свод Инв.обяз.'!O6</f>
        <v>28722.7480956361</v>
      </c>
      <c r="I86" s="187">
        <f>'[10]свод Инв.обяз.'!O7</f>
        <v>38170.026996921202</v>
      </c>
      <c r="J86" s="187"/>
      <c r="K86" s="187"/>
      <c r="L86" s="187">
        <f>'[10]свод Инв.обяз.'!O8</f>
        <v>43028.627574724902</v>
      </c>
      <c r="M86" s="187"/>
      <c r="N86" s="187"/>
      <c r="O86" s="187">
        <f>'[10]свод Инв.обяз.'!O9</f>
        <v>43028.627574724902</v>
      </c>
      <c r="P86" s="187"/>
      <c r="Q86" s="187"/>
      <c r="R86" s="187">
        <f>'[10]свод Инв.обяз.'!O10</f>
        <v>43028.627574724902</v>
      </c>
      <c r="S86" s="187"/>
      <c r="T86" s="187"/>
      <c r="U86" s="187">
        <f>'[10]свод Инв.обяз.'!O11</f>
        <v>43028.627574724902</v>
      </c>
      <c r="V86" s="187"/>
      <c r="W86" s="187"/>
      <c r="X86" s="187">
        <f>'[10]свод Инв.обяз.'!O12</f>
        <v>43028.627574724902</v>
      </c>
      <c r="Y86" s="187"/>
      <c r="Z86" s="187"/>
      <c r="AA86" s="187">
        <f>'[10]свод Инв.обяз.'!O13</f>
        <v>43028.627574724902</v>
      </c>
      <c r="AB86" s="187"/>
      <c r="AC86" s="187"/>
      <c r="AD86" s="187">
        <f>'[10]свод Инв.обяз.'!O14</f>
        <v>43028.627574724902</v>
      </c>
      <c r="AE86" s="187"/>
      <c r="AF86" s="187"/>
      <c r="AG86" s="187">
        <f>'[10]свод Инв.обяз.'!O15</f>
        <v>43028.627574724902</v>
      </c>
      <c r="AH86" s="187"/>
      <c r="AI86" s="187"/>
      <c r="AJ86" s="187">
        <f>'[10]свод Инв.обяз.'!O16</f>
        <v>43028.627574724902</v>
      </c>
      <c r="AK86" s="187"/>
      <c r="AL86" s="187"/>
      <c r="AM86" s="187">
        <f>'[10]свод Инв.обяз.'!O17</f>
        <v>43028.627574724902</v>
      </c>
      <c r="AN86" s="187"/>
      <c r="AO86" s="187"/>
      <c r="AP86" s="187">
        <f>'[10]свод Инв.обяз.'!O18</f>
        <v>43028.627574724902</v>
      </c>
      <c r="AQ86" s="187"/>
      <c r="AR86" s="187"/>
      <c r="AS86" s="187">
        <f>'[10]свод Инв.обяз.'!O19</f>
        <v>43028.627574724902</v>
      </c>
      <c r="AT86" s="187"/>
      <c r="AU86" s="187"/>
      <c r="AV86" s="187">
        <f>'[10]свод Инв.обяз.'!O20</f>
        <v>43028.627574724902</v>
      </c>
      <c r="AW86" s="187"/>
      <c r="AX86" s="187"/>
      <c r="AY86" s="187">
        <f>'[10]свод Инв.обяз.'!O21</f>
        <v>43028.627574724902</v>
      </c>
      <c r="AZ86" s="187"/>
      <c r="BA86" s="187"/>
      <c r="BB86" s="187">
        <f>'[10]свод Инв.обяз.'!O22</f>
        <v>43028.627574724902</v>
      </c>
      <c r="BC86" s="187"/>
      <c r="BD86" s="187"/>
      <c r="BE86" s="187">
        <f>'[10]свод Инв.обяз.'!O23</f>
        <v>43028.627574724902</v>
      </c>
      <c r="BF86" s="187"/>
      <c r="BG86" s="187"/>
      <c r="BH86" s="187">
        <f>'[10]свод Инв.обяз.'!O24</f>
        <v>0</v>
      </c>
      <c r="BI86" s="187"/>
      <c r="BJ86" s="187"/>
      <c r="BK86" s="187">
        <f>'[10]свод Инв.обяз.'!O25</f>
        <v>0</v>
      </c>
      <c r="BL86" s="187"/>
      <c r="BM86" s="187"/>
      <c r="BN86" s="187">
        <f>'[10]свод Инв.обяз.'!O26</f>
        <v>0</v>
      </c>
      <c r="BO86" s="187"/>
      <c r="BP86" s="187"/>
      <c r="BQ86" s="187">
        <f>'[10]свод Инв.обяз.'!O27</f>
        <v>0</v>
      </c>
      <c r="BR86" s="232"/>
      <c r="BS86" s="232"/>
      <c r="BT86" s="193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</row>
    <row r="87" spans="1:138" s="105" customFormat="1" ht="31.5">
      <c r="A87" s="195"/>
      <c r="B87" s="196" t="s">
        <v>679</v>
      </c>
      <c r="C87" s="195"/>
      <c r="D87" s="195">
        <f t="shared" si="232"/>
        <v>985527.34729149041</v>
      </c>
      <c r="E87" s="195"/>
      <c r="F87" s="197">
        <f>'[10]свод Инв.обяз.'!L4</f>
        <v>11250.247079999999</v>
      </c>
      <c r="G87" s="197">
        <f>'[10]свод Инв.обяз.'!L5</f>
        <v>2829.4542999999999</v>
      </c>
      <c r="H87" s="197">
        <f>'[10]свод Инв.обяз.'!L6</f>
        <v>29224.2</v>
      </c>
      <c r="I87" s="197">
        <f>'[10]свод Инв.обяз.'!L7</f>
        <v>18383.39</v>
      </c>
      <c r="J87" s="197"/>
      <c r="K87" s="197"/>
      <c r="L87" s="197">
        <f>'[10]свод Инв.обяз.'!L8</f>
        <v>16797.124329861599</v>
      </c>
      <c r="M87" s="197"/>
      <c r="N87" s="197"/>
      <c r="O87" s="207">
        <f>'[10]свод Инв.обяз.'!L9+'[10]свод Инв.обяз.'!M9</f>
        <v>43028.630000000005</v>
      </c>
      <c r="P87" s="197"/>
      <c r="Q87" s="197"/>
      <c r="R87" s="207">
        <f>'[10]свод Инв.обяз.'!L10+'[10]свод Инв.обяз.'!M10</f>
        <v>48474.825652946602</v>
      </c>
      <c r="S87" s="197"/>
      <c r="T87" s="197"/>
      <c r="U87" s="207">
        <f>'[10]свод Инв.обяз.'!L11+'[10]свод Инв.обяз.'!M11</f>
        <v>53516.240214971425</v>
      </c>
      <c r="V87" s="197"/>
      <c r="W87" s="197"/>
      <c r="X87" s="207">
        <f>'[10]свод Инв.обяз.'!L12</f>
        <v>10753.9419158582</v>
      </c>
      <c r="Y87" s="197"/>
      <c r="Z87" s="197"/>
      <c r="AA87" s="207">
        <f>'[10]свод Инв.обяз.'!L13</f>
        <v>16773.208304490799</v>
      </c>
      <c r="AB87" s="197"/>
      <c r="AC87" s="197"/>
      <c r="AD87" s="207">
        <f>'[10]свод Инв.обяз.'!L14</f>
        <v>28968.010063215799</v>
      </c>
      <c r="AE87" s="197"/>
      <c r="AF87" s="197"/>
      <c r="AG87" s="197">
        <f>'[10]свод Инв.обяз.'!L15</f>
        <v>45466.724295619002</v>
      </c>
      <c r="AH87" s="197"/>
      <c r="AI87" s="197"/>
      <c r="AJ87" s="197">
        <f>'[10]свод Инв.обяз.'!L16</f>
        <v>79675.497914980398</v>
      </c>
      <c r="AK87" s="197"/>
      <c r="AL87" s="197"/>
      <c r="AM87" s="197">
        <f>'[10]свод Инв.обяз.'!L17</f>
        <v>76285.982803746301</v>
      </c>
      <c r="AN87" s="197"/>
      <c r="AO87" s="197"/>
      <c r="AP87" s="197">
        <f>'[10]свод Инв.обяз.'!L18</f>
        <v>68411.142475453002</v>
      </c>
      <c r="AQ87" s="197"/>
      <c r="AR87" s="197"/>
      <c r="AS87" s="197">
        <f>'[10]свод Инв.обяз.'!L19</f>
        <v>64614.9713100144</v>
      </c>
      <c r="AT87" s="197"/>
      <c r="AU87" s="197"/>
      <c r="AV87" s="197">
        <f>'[10]свод Инв.обяз.'!L20</f>
        <v>60784.989794218403</v>
      </c>
      <c r="AW87" s="197"/>
      <c r="AX87" s="197"/>
      <c r="AY87" s="197">
        <f>'[10]свод Инв.обяз.'!L21</f>
        <v>56828.653814993799</v>
      </c>
      <c r="AZ87" s="197"/>
      <c r="BA87" s="197"/>
      <c r="BB87" s="197">
        <f>'[10]свод Инв.обяз.'!L22</f>
        <v>44808.569570630701</v>
      </c>
      <c r="BC87" s="197"/>
      <c r="BD87" s="197"/>
      <c r="BE87" s="197">
        <f>'[10]свод Инв.обяз.'!L23</f>
        <v>45922.852353906099</v>
      </c>
      <c r="BF87" s="197"/>
      <c r="BG87" s="197"/>
      <c r="BH87" s="197">
        <f>'[10]свод Инв.обяз.'!L24</f>
        <v>40682.172774145998</v>
      </c>
      <c r="BI87" s="197"/>
      <c r="BJ87" s="197"/>
      <c r="BK87" s="197">
        <f>'[10]свод Инв.обяз.'!L25</f>
        <v>40682.172774145998</v>
      </c>
      <c r="BL87" s="197"/>
      <c r="BM87" s="197"/>
      <c r="BN87" s="197">
        <f>'[10]свод Инв.обяз.'!L26</f>
        <v>40682.172774145998</v>
      </c>
      <c r="BO87" s="197"/>
      <c r="BP87" s="197"/>
      <c r="BQ87" s="197">
        <f>'[10]свод Инв.обяз.'!L27</f>
        <v>40682.172774145998</v>
      </c>
      <c r="BR87" s="233"/>
      <c r="BS87" s="233"/>
      <c r="BT87" s="195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</row>
    <row r="88" spans="1:138" s="104" customFormat="1" ht="14.25">
      <c r="A88" s="193"/>
      <c r="B88" s="194" t="s">
        <v>680</v>
      </c>
      <c r="C88" s="193"/>
      <c r="D88" s="193">
        <f t="shared" si="232"/>
        <v>201997.98099658437</v>
      </c>
      <c r="E88" s="193"/>
      <c r="F88" s="187">
        <f t="shared" ref="F88:I88" si="233">F87-F86</f>
        <v>-27.337774183200963</v>
      </c>
      <c r="G88" s="187">
        <f t="shared" si="233"/>
        <v>-14071.510852567202</v>
      </c>
      <c r="H88" s="187">
        <f t="shared" si="233"/>
        <v>501.45190436390112</v>
      </c>
      <c r="I88" s="187">
        <f t="shared" si="233"/>
        <v>-19786.636996921203</v>
      </c>
      <c r="J88" s="187"/>
      <c r="K88" s="187"/>
      <c r="L88" s="187">
        <f>L87-L86</f>
        <v>-26231.503244863303</v>
      </c>
      <c r="M88" s="187"/>
      <c r="N88" s="187"/>
      <c r="O88" s="187">
        <f>O87-O86</f>
        <v>2.4252751027233899E-3</v>
      </c>
      <c r="P88" s="187"/>
      <c r="Q88" s="187"/>
      <c r="R88" s="187">
        <f>R87-R86</f>
        <v>5446.1980782216997</v>
      </c>
      <c r="S88" s="187"/>
      <c r="T88" s="187"/>
      <c r="U88" s="187">
        <f>U87-U86</f>
        <v>10487.612640246523</v>
      </c>
      <c r="V88" s="187"/>
      <c r="W88" s="187"/>
      <c r="X88" s="187">
        <f>X87-X86</f>
        <v>-32274.6856588667</v>
      </c>
      <c r="Y88" s="187"/>
      <c r="Z88" s="187"/>
      <c r="AA88" s="187">
        <f>AA87-AA86</f>
        <v>-26255.419270234102</v>
      </c>
      <c r="AB88" s="187"/>
      <c r="AC88" s="187"/>
      <c r="AD88" s="187">
        <f>AD87-AD86</f>
        <v>-14060.617511509103</v>
      </c>
      <c r="AE88" s="187"/>
      <c r="AF88" s="187"/>
      <c r="AG88" s="187">
        <f>AG87-AG86</f>
        <v>2438.0967208941001</v>
      </c>
      <c r="AH88" s="187"/>
      <c r="AI88" s="187"/>
      <c r="AJ88" s="187">
        <f>AJ87-AJ86</f>
        <v>36646.870340255497</v>
      </c>
      <c r="AK88" s="187"/>
      <c r="AL88" s="187"/>
      <c r="AM88" s="187">
        <f>AM87-AM86</f>
        <v>33257.355229021399</v>
      </c>
      <c r="AN88" s="187"/>
      <c r="AO88" s="187"/>
      <c r="AP88" s="187">
        <f>AP87-AP86</f>
        <v>25382.5149007281</v>
      </c>
      <c r="AQ88" s="187"/>
      <c r="AR88" s="187"/>
      <c r="AS88" s="187">
        <f>AS87-AS86</f>
        <v>21586.343735289498</v>
      </c>
      <c r="AT88" s="187"/>
      <c r="AU88" s="187"/>
      <c r="AV88" s="187">
        <f>AV87-AV86</f>
        <v>17756.362219493501</v>
      </c>
      <c r="AW88" s="187"/>
      <c r="AX88" s="187"/>
      <c r="AY88" s="187">
        <f>AY87-AY86</f>
        <v>13800.026240268897</v>
      </c>
      <c r="AZ88" s="187"/>
      <c r="BA88" s="187"/>
      <c r="BB88" s="187">
        <f>BB87-BB86</f>
        <v>1779.9419959057996</v>
      </c>
      <c r="BC88" s="187"/>
      <c r="BD88" s="187"/>
      <c r="BE88" s="187">
        <f>BE87-BE86</f>
        <v>2894.2247791811969</v>
      </c>
      <c r="BF88" s="187"/>
      <c r="BG88" s="187"/>
      <c r="BH88" s="187">
        <f>BH87-BH86</f>
        <v>40682.172774145998</v>
      </c>
      <c r="BI88" s="187"/>
      <c r="BJ88" s="187"/>
      <c r="BK88" s="187">
        <f>BK87-BK86</f>
        <v>40682.172774145998</v>
      </c>
      <c r="BL88" s="187"/>
      <c r="BM88" s="187"/>
      <c r="BN88" s="187">
        <f>BN87-BN86</f>
        <v>40682.172774145998</v>
      </c>
      <c r="BO88" s="187"/>
      <c r="BP88" s="187"/>
      <c r="BQ88" s="187">
        <f>BQ87-BQ86</f>
        <v>40682.172774145998</v>
      </c>
      <c r="BR88" s="232"/>
      <c r="BS88" s="232"/>
      <c r="BT88" s="193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</row>
    <row r="89" spans="1:138" s="102" customFormat="1">
      <c r="B89" s="190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</row>
    <row r="90" spans="1:138">
      <c r="B90" s="107" t="s">
        <v>681</v>
      </c>
      <c r="I90" s="208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X90" s="208"/>
    </row>
    <row r="91" spans="1:138">
      <c r="A91" s="198"/>
      <c r="B91" s="143" t="s">
        <v>446</v>
      </c>
      <c r="C91" s="199"/>
      <c r="D91" s="199"/>
      <c r="E91" s="200"/>
      <c r="F91" s="201"/>
      <c r="G91" s="201"/>
      <c r="H91" s="201"/>
      <c r="I91" s="201"/>
      <c r="J91" s="124"/>
      <c r="K91" s="124"/>
      <c r="L91" s="124">
        <f t="shared" ref="L91:AQ91" si="234">L58/L59</f>
        <v>28.64708723075298</v>
      </c>
      <c r="M91" s="124">
        <f t="shared" si="234"/>
        <v>27.206357666711199</v>
      </c>
      <c r="N91" s="124">
        <f t="shared" si="234"/>
        <v>30.143696939631671</v>
      </c>
      <c r="O91" s="124">
        <f t="shared" si="234"/>
        <v>30.908410902655838</v>
      </c>
      <c r="P91" s="124">
        <f t="shared" si="234"/>
        <v>29.790086203783613</v>
      </c>
      <c r="Q91" s="124">
        <f t="shared" si="234"/>
        <v>31.250545037654437</v>
      </c>
      <c r="R91" s="124">
        <f t="shared" si="234"/>
        <v>31.940654451790714</v>
      </c>
      <c r="S91" s="124">
        <f t="shared" si="234"/>
        <v>30.919459946701522</v>
      </c>
      <c r="T91" s="124">
        <f t="shared" si="234"/>
        <v>32.434026506521228</v>
      </c>
      <c r="U91" s="124">
        <f t="shared" si="234"/>
        <v>33.431370835147327</v>
      </c>
      <c r="V91" s="124">
        <f t="shared" si="234"/>
        <v>32.119419548551797</v>
      </c>
      <c r="W91" s="124">
        <f t="shared" si="234"/>
        <v>33.691475567192192</v>
      </c>
      <c r="X91" s="124">
        <f t="shared" si="234"/>
        <v>34.716647306976263</v>
      </c>
      <c r="Y91" s="124">
        <f t="shared" si="234"/>
        <v>33.396381905601032</v>
      </c>
      <c r="Z91" s="124">
        <f t="shared" si="234"/>
        <v>35.029616546194987</v>
      </c>
      <c r="AA91" s="124">
        <f t="shared" si="234"/>
        <v>35.774412410313488</v>
      </c>
      <c r="AB91" s="124">
        <f t="shared" si="234"/>
        <v>34.756763914115787</v>
      </c>
      <c r="AC91" s="124">
        <f t="shared" si="234"/>
        <v>36.588535366285193</v>
      </c>
      <c r="AD91" s="124">
        <f t="shared" si="234"/>
        <v>37.865214140032258</v>
      </c>
      <c r="AE91" s="124">
        <f t="shared" si="234"/>
        <v>36.335320395694239</v>
      </c>
      <c r="AF91" s="124">
        <f t="shared" si="234"/>
        <v>38.25204779918802</v>
      </c>
      <c r="AG91" s="124">
        <f t="shared" si="234"/>
        <v>39.904003464919626</v>
      </c>
      <c r="AH91" s="124">
        <f t="shared" si="234"/>
        <v>38.02296411380452</v>
      </c>
      <c r="AI91" s="124">
        <f t="shared" si="234"/>
        <v>40.030518408348371</v>
      </c>
      <c r="AJ91" s="124">
        <f t="shared" si="234"/>
        <v>40.330818174793244</v>
      </c>
      <c r="AK91" s="124">
        <f t="shared" si="234"/>
        <v>39.832528860979814</v>
      </c>
      <c r="AL91" s="124">
        <f t="shared" si="234"/>
        <v>40.848434140687424</v>
      </c>
      <c r="AM91" s="124">
        <f t="shared" si="234"/>
        <v>41.164454031299506</v>
      </c>
      <c r="AN91" s="124">
        <f t="shared" si="234"/>
        <v>40.660308479368503</v>
      </c>
      <c r="AO91" s="124">
        <f t="shared" si="234"/>
        <v>41.688153375395274</v>
      </c>
      <c r="AP91" s="124">
        <f t="shared" si="234"/>
        <v>42.023939061650914</v>
      </c>
      <c r="AQ91" s="124">
        <f t="shared" si="234"/>
        <v>41.513755682823522</v>
      </c>
      <c r="AR91" s="124">
        <f t="shared" ref="AR91:BS91" si="235">AR58/AR59</f>
        <v>42.553910415830501</v>
      </c>
      <c r="AS91" s="124">
        <f t="shared" si="235"/>
        <v>43.201089679902502</v>
      </c>
      <c r="AT91" s="124">
        <f t="shared" si="235"/>
        <v>42.392870471344843</v>
      </c>
      <c r="AU91" s="124">
        <f t="shared" si="235"/>
        <v>44.040656483152098</v>
      </c>
      <c r="AV91" s="124">
        <f t="shared" si="235"/>
        <v>44.427912229250403</v>
      </c>
      <c r="AW91" s="124">
        <f t="shared" si="235"/>
        <v>43.900841093990913</v>
      </c>
      <c r="AX91" s="124">
        <f t="shared" si="235"/>
        <v>44.975426348476383</v>
      </c>
      <c r="AY91" s="124">
        <f t="shared" si="235"/>
        <v>45.699892644639895</v>
      </c>
      <c r="AZ91" s="124">
        <f t="shared" si="235"/>
        <v>44.850541741444616</v>
      </c>
      <c r="BA91" s="124">
        <f t="shared" si="235"/>
        <v>46.582186476662756</v>
      </c>
      <c r="BB91" s="124">
        <f t="shared" si="235"/>
        <v>46.553077315184808</v>
      </c>
      <c r="BC91" s="124">
        <f t="shared" si="235"/>
        <v>46.486850289422271</v>
      </c>
      <c r="BD91" s="124">
        <f t="shared" si="235"/>
        <v>48.882083252794402</v>
      </c>
      <c r="BE91" s="124">
        <f t="shared" si="235"/>
        <v>48.661744775329012</v>
      </c>
      <c r="BF91" s="124">
        <f t="shared" si="235"/>
        <v>48.882566758506627</v>
      </c>
      <c r="BG91" s="124">
        <f t="shared" si="235"/>
        <v>50.111161176382794</v>
      </c>
      <c r="BH91" s="124">
        <f t="shared" si="235"/>
        <v>49.867868651916076</v>
      </c>
      <c r="BI91" s="124">
        <f t="shared" si="235"/>
        <v>50.108716620746684</v>
      </c>
      <c r="BJ91" s="124">
        <f t="shared" si="235"/>
        <v>51.467740770562855</v>
      </c>
      <c r="BK91" s="124">
        <f t="shared" si="235"/>
        <v>51.595701341764247</v>
      </c>
      <c r="BL91" s="124">
        <f t="shared" si="235"/>
        <v>51.46743324149336</v>
      </c>
      <c r="BM91" s="124">
        <f t="shared" si="235"/>
        <v>52.863327234131255</v>
      </c>
      <c r="BN91" s="124">
        <f t="shared" si="235"/>
        <v>53.386893530673511</v>
      </c>
      <c r="BO91" s="124">
        <f t="shared" si="235"/>
        <v>52.86101634522678</v>
      </c>
      <c r="BP91" s="124">
        <f t="shared" si="235"/>
        <v>54.294805536429216</v>
      </c>
      <c r="BQ91" s="124">
        <f t="shared" si="235"/>
        <v>55.243770185228229</v>
      </c>
      <c r="BR91" s="124">
        <f t="shared" si="235"/>
        <v>54.293583103733425</v>
      </c>
      <c r="BS91" s="124">
        <f t="shared" si="235"/>
        <v>55.766824592126142</v>
      </c>
      <c r="BT91" s="234"/>
      <c r="BU91" s="124"/>
      <c r="BV91" s="124"/>
      <c r="BW91" s="124"/>
      <c r="BX91" s="124"/>
      <c r="BY91" s="124"/>
      <c r="BZ91" s="124"/>
      <c r="CA91" s="124">
        <f t="shared" ref="CA91:DF91" si="236">CA58/CA59</f>
        <v>29.077941509818931</v>
      </c>
      <c r="CB91" s="124">
        <f t="shared" si="236"/>
        <v>27.760623847588853</v>
      </c>
      <c r="CC91" s="124">
        <f t="shared" si="236"/>
        <v>30.395259172049144</v>
      </c>
      <c r="CD91" s="124">
        <f t="shared" si="236"/>
        <v>30.11142895243502</v>
      </c>
      <c r="CE91" s="124">
        <f t="shared" si="236"/>
        <v>30.106056412233976</v>
      </c>
      <c r="CF91" s="124">
        <f t="shared" si="236"/>
        <v>31.219527587082627</v>
      </c>
      <c r="CG91" s="124">
        <f t="shared" si="236"/>
        <v>31.43712788187829</v>
      </c>
      <c r="CH91" s="124">
        <f t="shared" si="236"/>
        <v>31.231966814886057</v>
      </c>
      <c r="CI91" s="124">
        <f t="shared" si="236"/>
        <v>32.417817124217308</v>
      </c>
      <c r="CJ91" s="124">
        <f t="shared" si="236"/>
        <v>32.318137159019251</v>
      </c>
      <c r="CK91" s="124">
        <f t="shared" si="236"/>
        <v>32.425297002128083</v>
      </c>
      <c r="CL91" s="124">
        <f t="shared" si="236"/>
        <v>33.687860525851065</v>
      </c>
      <c r="CM91" s="124">
        <f t="shared" si="236"/>
        <v>33.661020489279053</v>
      </c>
      <c r="CN91" s="124">
        <f t="shared" si="236"/>
        <v>33.699530930878041</v>
      </c>
      <c r="CO91" s="124">
        <f t="shared" si="236"/>
        <v>35.044008564883725</v>
      </c>
      <c r="CP91" s="124">
        <f t="shared" si="236"/>
        <v>35.656527006664838</v>
      </c>
      <c r="CQ91" s="124">
        <f t="shared" si="236"/>
        <v>35.05466860113593</v>
      </c>
      <c r="CR91" s="124">
        <f t="shared" si="236"/>
        <v>36.621244827012049</v>
      </c>
      <c r="CS91" s="124">
        <f t="shared" si="236"/>
        <v>36.661471771068797</v>
      </c>
      <c r="CT91" s="124">
        <f t="shared" si="236"/>
        <v>36.632291560540644</v>
      </c>
      <c r="CU91" s="124">
        <f t="shared" si="236"/>
        <v>38.309753529388018</v>
      </c>
      <c r="CV91" s="124">
        <f t="shared" si="236"/>
        <v>37.996286477726215</v>
      </c>
      <c r="CW91" s="124">
        <f t="shared" si="236"/>
        <v>38.317786175289342</v>
      </c>
      <c r="CX91" s="124">
        <f t="shared" si="236"/>
        <v>40.113715818251151</v>
      </c>
      <c r="CY91" s="124">
        <f t="shared" si="236"/>
        <v>40.515977304005069</v>
      </c>
      <c r="CZ91" s="124">
        <f t="shared" si="236"/>
        <v>40.117894423840866</v>
      </c>
      <c r="DA91" s="124">
        <f t="shared" si="236"/>
        <v>40.937873692352071</v>
      </c>
      <c r="DB91" s="124">
        <f t="shared" si="236"/>
        <v>41.357429424009879</v>
      </c>
      <c r="DC91" s="124">
        <f t="shared" si="236"/>
        <v>40.947157774297189</v>
      </c>
      <c r="DD91" s="124">
        <f t="shared" si="236"/>
        <v>41.792243719926205</v>
      </c>
      <c r="DE91" s="124">
        <f t="shared" si="236"/>
        <v>42.219404766453813</v>
      </c>
      <c r="DF91" s="124">
        <f t="shared" si="236"/>
        <v>41.796647060130418</v>
      </c>
      <c r="DG91" s="124">
        <f t="shared" ref="DG91:EH91" si="237">DG58/DG59</f>
        <v>42.667452040855885</v>
      </c>
      <c r="DH91" s="124">
        <f t="shared" si="237"/>
        <v>43.40117513733675</v>
      </c>
      <c r="DI91" s="124">
        <f t="shared" si="237"/>
        <v>42.673104259799622</v>
      </c>
      <c r="DJ91" s="124">
        <f t="shared" si="237"/>
        <v>44.172799562799895</v>
      </c>
      <c r="DK91" s="124">
        <f t="shared" si="237"/>
        <v>44.634303940126124</v>
      </c>
      <c r="DL91" s="124">
        <f t="shared" si="237"/>
        <v>44.17656545615548</v>
      </c>
      <c r="DM91" s="124">
        <f t="shared" si="237"/>
        <v>45.119424559015705</v>
      </c>
      <c r="DN91" s="124">
        <f t="shared" si="237"/>
        <v>45.91516060633144</v>
      </c>
      <c r="DO91" s="124">
        <f t="shared" si="237"/>
        <v>45.127184418873696</v>
      </c>
      <c r="DP91" s="124">
        <f t="shared" si="237"/>
        <v>46.750273905990625</v>
      </c>
      <c r="DQ91" s="124">
        <f t="shared" si="237"/>
        <v>46.650956115544439</v>
      </c>
      <c r="DR91" s="124">
        <f t="shared" si="237"/>
        <v>46.758743205950282</v>
      </c>
      <c r="DS91" s="124">
        <f t="shared" si="237"/>
        <v>45.14913817919259</v>
      </c>
      <c r="DT91" s="124">
        <f t="shared" si="237"/>
        <v>47.86280698028375</v>
      </c>
      <c r="DU91" s="124">
        <f t="shared" si="237"/>
        <v>45.15274786676752</v>
      </c>
      <c r="DV91" s="124">
        <f t="shared" si="237"/>
        <v>46.824167302486465</v>
      </c>
      <c r="DW91" s="124">
        <f t="shared" si="237"/>
        <v>49.372872059883584</v>
      </c>
      <c r="DX91" s="124">
        <f t="shared" si="237"/>
        <v>46.824045187075399</v>
      </c>
      <c r="DY91" s="124">
        <f t="shared" si="237"/>
        <v>49.585638196771079</v>
      </c>
      <c r="DZ91" s="124">
        <f t="shared" si="237"/>
        <v>51.135112971493015</v>
      </c>
      <c r="EA91" s="124">
        <f t="shared" si="237"/>
        <v>49.582696791383682</v>
      </c>
      <c r="EB91" s="124">
        <f t="shared" si="237"/>
        <v>51.254528012488329</v>
      </c>
      <c r="EC91" s="124">
        <f t="shared" si="237"/>
        <v>52.962774793687508</v>
      </c>
      <c r="ED91" s="124">
        <f t="shared" si="237"/>
        <v>51.256741978459083</v>
      </c>
      <c r="EE91" s="124">
        <f t="shared" si="237"/>
        <v>54.284420927115484</v>
      </c>
      <c r="EF91" s="124">
        <f t="shared" si="237"/>
        <v>54.858295610606191</v>
      </c>
      <c r="EG91" s="124">
        <f t="shared" si="237"/>
        <v>54.282696791383678</v>
      </c>
      <c r="EH91" s="124">
        <f t="shared" si="237"/>
        <v>56.092439186085784</v>
      </c>
    </row>
    <row r="92" spans="1:138">
      <c r="A92" s="202"/>
      <c r="B92" s="126" t="s">
        <v>682</v>
      </c>
      <c r="C92" s="199"/>
      <c r="D92" s="199"/>
      <c r="E92" s="200"/>
      <c r="F92" s="201"/>
      <c r="G92" s="201"/>
      <c r="H92" s="201"/>
      <c r="I92" s="209"/>
      <c r="J92" s="124"/>
      <c r="K92" s="124"/>
      <c r="L92" s="210">
        <f>(M60*M92+N60*N92)/L60</f>
        <v>22.19643114018459</v>
      </c>
      <c r="M92" s="124">
        <f t="shared" ref="M92:Q92" si="238">M63/1.2</f>
        <v>21.566666666666666</v>
      </c>
      <c r="N92" s="124">
        <f t="shared" si="238"/>
        <v>22.860666666666667</v>
      </c>
      <c r="O92" s="210">
        <f>(P60*P92+Q60*Q92)/O60</f>
        <v>23.57031435378039</v>
      </c>
      <c r="P92" s="124">
        <f t="shared" si="238"/>
        <v>22.858333333333334</v>
      </c>
      <c r="Q92" s="124">
        <f t="shared" si="238"/>
        <v>24.321266666666666</v>
      </c>
      <c r="R92" s="210">
        <f>(S60*S92+T60*T92)/R60</f>
        <v>25.082664089932543</v>
      </c>
      <c r="S92" s="124">
        <f t="shared" ref="S92:W92" si="239">S63/1.2</f>
        <v>24.325000000000003</v>
      </c>
      <c r="T92" s="124">
        <f t="shared" si="239"/>
        <v>25.881800000000005</v>
      </c>
      <c r="U92" s="210">
        <f>(V60*V92+W60*W92)/U60</f>
        <v>26.689535684594198</v>
      </c>
      <c r="V92" s="124">
        <f t="shared" si="239"/>
        <v>25.883333333333333</v>
      </c>
      <c r="W92" s="124">
        <f t="shared" si="239"/>
        <v>27.539866666666668</v>
      </c>
      <c r="X92" s="210">
        <f>(Y60*Y92+Z60*Z92)/X60</f>
        <v>28.399522033993481</v>
      </c>
      <c r="Y92" s="124">
        <f t="shared" ref="Y92:AC92" si="240">Y63/1.2</f>
        <v>27.541666666666664</v>
      </c>
      <c r="Z92" s="124">
        <v>29.3043333333333</v>
      </c>
      <c r="AA92" s="210">
        <f>(AB60*AB92+AC60*AC92)/AA60</f>
        <v>30.306798787579716</v>
      </c>
      <c r="AB92" s="124">
        <f t="shared" si="240"/>
        <v>29.308333333333337</v>
      </c>
      <c r="AC92" s="124">
        <f t="shared" si="240"/>
        <v>31.35991666666667</v>
      </c>
      <c r="AD92" s="210">
        <f>(AE60*AE92+AF60*AF92)/AD60</f>
        <v>32.426637428962877</v>
      </c>
      <c r="AE92" s="124">
        <f t="shared" ref="AE92:AI92" si="241">AE63/1.2</f>
        <v>31.358333333333338</v>
      </c>
      <c r="AF92" s="124">
        <f t="shared" si="241"/>
        <v>33.553416666666671</v>
      </c>
      <c r="AG92" s="210">
        <f>(AH60*AH92+AI60*AI92)/AG60</f>
        <v>34.692968984587978</v>
      </c>
      <c r="AH92" s="124">
        <f t="shared" si="241"/>
        <v>33.549999999999997</v>
      </c>
      <c r="AI92" s="124">
        <f t="shared" si="241"/>
        <v>35.898500000000006</v>
      </c>
      <c r="AJ92" s="210">
        <f>(AK60*AK92+AL60*AL92)/AJ60</f>
        <v>36.424154820694589</v>
      </c>
      <c r="AK92" s="124">
        <f t="shared" ref="AK92:AO92" si="242">AK63/1.2</f>
        <v>35.9</v>
      </c>
      <c r="AL92" s="124">
        <f t="shared" si="242"/>
        <v>36.977000000000004</v>
      </c>
      <c r="AM92" s="210">
        <f>(AN60*AN92+AO60*AO92)/AM60</f>
        <v>37.514850264489759</v>
      </c>
      <c r="AN92" s="124">
        <v>36.975000000000001</v>
      </c>
      <c r="AO92" s="124">
        <f t="shared" si="242"/>
        <v>38.084249999999997</v>
      </c>
      <c r="AP92" s="210">
        <f>(AQ60*AQ92+AR60*AR92)/AP60</f>
        <v>38.639365722046009</v>
      </c>
      <c r="AQ92" s="124">
        <v>38.0833333333333</v>
      </c>
      <c r="AR92" s="124">
        <f t="shared" ref="AR92:AW92" si="243">AR63/1.2</f>
        <v>39.225833333333341</v>
      </c>
      <c r="AS92" s="210">
        <f>(AT60*AT92+AU60*AU92)/AS60</f>
        <v>40.179501988938974</v>
      </c>
      <c r="AT92" s="124">
        <v>39.225000000000001</v>
      </c>
      <c r="AU92" s="124">
        <f t="shared" si="243"/>
        <v>41.186250000000008</v>
      </c>
      <c r="AV92" s="210">
        <f>(AW60*AW92+AX60*AX92)/AV60</f>
        <v>41.784627001827438</v>
      </c>
      <c r="AW92" s="124">
        <f t="shared" si="243"/>
        <v>41.183333333333337</v>
      </c>
      <c r="AX92" s="124">
        <v>42.418833333333303</v>
      </c>
      <c r="AY92" s="210">
        <f>(AZ60*AZ92+BA60*BA92)/AY60</f>
        <v>43.44883474053524</v>
      </c>
      <c r="AZ92" s="124">
        <f t="shared" ref="AZ92:BD92" si="244">AZ63/1.2</f>
        <v>42.416666666666664</v>
      </c>
      <c r="BA92" s="124">
        <f t="shared" si="244"/>
        <v>44.537500000000001</v>
      </c>
      <c r="BB92" s="210">
        <f>(BC60*BC92+BD60*BD92)/BB60</f>
        <v>46.654062506644962</v>
      </c>
      <c r="BC92" s="124">
        <v>44.5416666666667</v>
      </c>
      <c r="BD92" s="124">
        <f t="shared" si="244"/>
        <v>48.882083333333554</v>
      </c>
      <c r="BE92" s="210">
        <f>(BF60*BF92+BG60*BG92)/BE60</f>
        <v>49.481294933135366</v>
      </c>
      <c r="BF92" s="124">
        <f t="shared" ref="BF92:BJ92" si="245">BF63/1.2</f>
        <v>48.883333333333333</v>
      </c>
      <c r="BG92" s="124">
        <f t="shared" si="245"/>
        <v>50.111986810436477</v>
      </c>
      <c r="BH92" s="210">
        <f>(BI60*BI92+BJ60*BJ92)/BH60</f>
        <v>50.769729027050111</v>
      </c>
      <c r="BI92" s="124">
        <f t="shared" si="245"/>
        <v>50.108333333333334</v>
      </c>
      <c r="BJ92" s="124">
        <f t="shared" si="245"/>
        <v>51.467327153497045</v>
      </c>
      <c r="BK92" s="210">
        <f>(BL60*BL92+BM60*BM92)/BK60</f>
        <v>52.145991430411023</v>
      </c>
      <c r="BL92" s="124">
        <f t="shared" ref="BL92:BP92" si="246">BL63/1.2</f>
        <v>51.466666666666669</v>
      </c>
      <c r="BM92" s="124">
        <f t="shared" si="246"/>
        <v>52.862499999999621</v>
      </c>
      <c r="BN92" s="210">
        <f>(BO60*BO92+BP60*BP92)/BN60</f>
        <v>53.556027144283853</v>
      </c>
      <c r="BO92" s="124">
        <f t="shared" si="246"/>
        <v>52.858333333333334</v>
      </c>
      <c r="BP92" s="124">
        <f t="shared" si="246"/>
        <v>54.291910216968517</v>
      </c>
      <c r="BQ92" s="210">
        <f>(BR60*BR92+BS60*BS92)/BQ60</f>
        <v>55.008590648646738</v>
      </c>
      <c r="BR92" s="124">
        <f>BR63/1.2</f>
        <v>54.291666666666671</v>
      </c>
      <c r="BS92" s="124">
        <f>BS63/1.2</f>
        <v>55.764756483086437</v>
      </c>
      <c r="BT92" s="234"/>
      <c r="BU92" s="124"/>
      <c r="BV92" s="124"/>
      <c r="BW92" s="124"/>
      <c r="BX92" s="210"/>
      <c r="BY92" s="124"/>
      <c r="BZ92" s="124"/>
      <c r="CA92" s="210">
        <f>(CB60*CB92+CC60*CC92)/CA60</f>
        <v>21.072083333333335</v>
      </c>
      <c r="CB92" s="124">
        <f t="shared" ref="CB92:CF92" si="247">CB63/1.2</f>
        <v>20.458333333333336</v>
      </c>
      <c r="CC92" s="124">
        <f t="shared" si="247"/>
        <v>21.685833333333335</v>
      </c>
      <c r="CD92" s="210">
        <f>(CE60*CE92+CF60*CF92)/CD60</f>
        <v>22.35714183685208</v>
      </c>
      <c r="CE92" s="124">
        <f t="shared" si="247"/>
        <v>21.683333333333334</v>
      </c>
      <c r="CF92" s="124">
        <f t="shared" si="247"/>
        <v>23.07106666666667</v>
      </c>
      <c r="CG92" s="210">
        <f>(CH60*CH92+CI60*CI92)/CG60</f>
        <v>23.792054475881407</v>
      </c>
      <c r="CH92" s="124">
        <f t="shared" ref="CH92:CL92" si="248">CH63/1.2</f>
        <v>23.075000000000003</v>
      </c>
      <c r="CI92" s="124">
        <f t="shared" si="248"/>
        <v>24.551800000000004</v>
      </c>
      <c r="CJ92" s="210">
        <f>(CK60*CK92+CL60*CL92)/CJ60</f>
        <v>25.31289002742745</v>
      </c>
      <c r="CK92" s="124">
        <f t="shared" si="248"/>
        <v>24.55</v>
      </c>
      <c r="CL92" s="124">
        <f t="shared" si="248"/>
        <v>26.121200000000005</v>
      </c>
      <c r="CM92" s="210">
        <f>(CN60*CN92+CO60*CO92)/CM60</f>
        <v>26.936833073993569</v>
      </c>
      <c r="CN92" s="124">
        <f t="shared" ref="CN92:CR92" si="249">CN63/1.2</f>
        <v>26.125000000000004</v>
      </c>
      <c r="CO92" s="124">
        <f t="shared" si="249"/>
        <v>27.797000000000001</v>
      </c>
      <c r="CP92" s="210">
        <f>(CQ60*CQ92+CR60*CR92)/CP60</f>
        <v>28.744872704540359</v>
      </c>
      <c r="CQ92" s="124">
        <f t="shared" si="249"/>
        <v>27.8</v>
      </c>
      <c r="CR92" s="124">
        <f t="shared" si="249"/>
        <v>29.746000000000002</v>
      </c>
      <c r="CS92" s="210">
        <f>(CT60*CT92+CU60*CU92)/CS60</f>
        <v>30.761149746765319</v>
      </c>
      <c r="CT92" s="124">
        <f t="shared" ref="CT92:CX92" si="250">CT63/1.2</f>
        <v>29.750000000000004</v>
      </c>
      <c r="CU92" s="124">
        <f t="shared" si="250"/>
        <v>31.832500000000007</v>
      </c>
      <c r="CV92" s="210">
        <f>(CW60*CW92+CX60*CX92)/CV60</f>
        <v>32.91529188589454</v>
      </c>
      <c r="CW92" s="124">
        <f t="shared" si="250"/>
        <v>31.833333333333336</v>
      </c>
      <c r="CX92" s="124">
        <f t="shared" si="250"/>
        <v>34.061666666666667</v>
      </c>
      <c r="CY92" s="210">
        <f>(CZ60*CZ92+DA60*DA92)/CY60</f>
        <v>34.554440057826696</v>
      </c>
      <c r="CZ92" s="124">
        <v>34.058333333333302</v>
      </c>
      <c r="DA92" s="124">
        <f t="shared" ref="DA92:DD92" si="251">DA63/1.2</f>
        <v>35.080083333333334</v>
      </c>
      <c r="DB92" s="210">
        <f>(DC60*DC92+DD60*DD92)/DB60</f>
        <v>35.594370600305965</v>
      </c>
      <c r="DC92" s="124">
        <f t="shared" si="251"/>
        <v>35.083333333333336</v>
      </c>
      <c r="DD92" s="124">
        <f t="shared" si="251"/>
        <v>36.135833333333338</v>
      </c>
      <c r="DE92" s="210">
        <f>(DF60*DF92+DG60*DG92)/DE60</f>
        <v>36.659665302357851</v>
      </c>
      <c r="DF92" s="124">
        <v>36.133333333333297</v>
      </c>
      <c r="DG92" s="124">
        <f>DG63/1.2</f>
        <v>37.217333333333336</v>
      </c>
      <c r="DH92" s="210">
        <f>(DI60*DI92+DJ60*DJ92)/DH60</f>
        <v>38.12018702862224</v>
      </c>
      <c r="DI92" s="124">
        <v>37.216666666666697</v>
      </c>
      <c r="DJ92" s="124">
        <f t="shared" ref="DJ92:DP92" si="252">DJ63/1.2</f>
        <v>39.077500000000001</v>
      </c>
      <c r="DK92" s="210">
        <f>(DL60*DL92+DM60*DM92)/DK60</f>
        <v>39.644181412074737</v>
      </c>
      <c r="DL92" s="124">
        <v>39.075000000000003</v>
      </c>
      <c r="DM92" s="124">
        <f t="shared" si="252"/>
        <v>40.247250000000001</v>
      </c>
      <c r="DN92" s="210">
        <f>(DO60*DO92+DP60*DP92)/DN60</f>
        <v>41.227161519983277</v>
      </c>
      <c r="DO92" s="124">
        <f t="shared" si="252"/>
        <v>40.25</v>
      </c>
      <c r="DP92" s="124">
        <f t="shared" si="252"/>
        <v>42.262499999999996</v>
      </c>
      <c r="DQ92" s="210">
        <f>(DR60*DR92+DS60*DS92)/DQ60</f>
        <v>42.266666666666659</v>
      </c>
      <c r="DR92" s="124">
        <f t="shared" ref="DR92:DV92" si="253">DR63/1.2</f>
        <v>42.266666666666666</v>
      </c>
      <c r="DS92" s="124">
        <f t="shared" si="253"/>
        <v>42.266666666666666</v>
      </c>
      <c r="DT92" s="210">
        <f>(DU60*DU92+DV60*DV92)/DT60</f>
        <v>44.479543003225174</v>
      </c>
      <c r="DU92" s="124">
        <f t="shared" si="253"/>
        <v>42.266666666666666</v>
      </c>
      <c r="DV92" s="124">
        <f t="shared" si="253"/>
        <v>46.824166666666834</v>
      </c>
      <c r="DW92" s="210">
        <f>(DX60*DX92+DY60*DY92)/DW60</f>
        <v>48.165907492508772</v>
      </c>
      <c r="DX92" s="124">
        <v>46.825000000000003</v>
      </c>
      <c r="DY92">
        <v>49.586648175339597</v>
      </c>
      <c r="DZ92" s="210">
        <f>(EA60*EA92+EB60*EB92)/DZ60</f>
        <v>50.395094516092733</v>
      </c>
      <c r="EA92">
        <v>49.5833333333333</v>
      </c>
      <c r="EB92">
        <v>51.255185270699101</v>
      </c>
      <c r="EC92" s="210">
        <f>(ED60*ED92+EE60*EE92)/EC60</f>
        <v>52.728455741982877</v>
      </c>
      <c r="ED92" s="124">
        <f t="shared" ref="ED92:EH92" si="254">ED63/1.2</f>
        <v>51.258333333333333</v>
      </c>
      <c r="EE92" s="124">
        <f t="shared" si="254"/>
        <v>54.286104369034597</v>
      </c>
      <c r="EF92" s="210">
        <f>(EG60*EG92+EH60*EH92)/EF60</f>
        <v>55.162056631199945</v>
      </c>
      <c r="EG92" s="124">
        <f t="shared" si="254"/>
        <v>54.283333333333339</v>
      </c>
      <c r="EH92" s="124">
        <f t="shared" si="254"/>
        <v>56.093096203433667</v>
      </c>
    </row>
    <row r="93" spans="1:138" ht="30">
      <c r="A93" s="202"/>
      <c r="B93" s="126" t="s">
        <v>449</v>
      </c>
      <c r="C93" s="199"/>
      <c r="D93" s="199"/>
      <c r="E93" s="200"/>
      <c r="F93" s="201"/>
      <c r="G93" s="201"/>
      <c r="H93" s="201"/>
      <c r="I93" s="201"/>
      <c r="J93" s="211"/>
      <c r="K93" s="211"/>
      <c r="L93" s="124">
        <f>(M61*M64+N61*N64)/L61</f>
        <v>49.566354517386984</v>
      </c>
      <c r="M93" s="124">
        <f t="shared" ref="M93:Q93" si="255">M64</f>
        <v>46.09</v>
      </c>
      <c r="N93" s="124">
        <f t="shared" si="255"/>
        <v>53.003500000000201</v>
      </c>
      <c r="O93" s="124">
        <f>(P61*P64+Q61*Q64)/O61</f>
        <v>53.000000000000007</v>
      </c>
      <c r="P93" s="124">
        <f t="shared" si="255"/>
        <v>53</v>
      </c>
      <c r="Q93" s="124">
        <f t="shared" si="255"/>
        <v>53</v>
      </c>
      <c r="R93" s="124">
        <f>(S61*S64+T61*T64)/R61</f>
        <v>53.000000000000007</v>
      </c>
      <c r="S93" s="124">
        <f t="shared" ref="S93:W93" si="256">S64</f>
        <v>53</v>
      </c>
      <c r="T93" s="124">
        <f t="shared" si="256"/>
        <v>53</v>
      </c>
      <c r="U93" s="124">
        <f>(V61*V64+W61*W64)/U61</f>
        <v>53.000000000000007</v>
      </c>
      <c r="V93" s="124">
        <f t="shared" si="256"/>
        <v>53</v>
      </c>
      <c r="W93" s="124">
        <f t="shared" si="256"/>
        <v>53</v>
      </c>
      <c r="X93" s="124">
        <f>(Y61*Y64+Z61*Z64)/X61</f>
        <v>53.000000000000007</v>
      </c>
      <c r="Y93" s="124">
        <f t="shared" ref="Y93:AC93" si="257">Y64</f>
        <v>53</v>
      </c>
      <c r="Z93" s="124">
        <f t="shared" si="257"/>
        <v>53</v>
      </c>
      <c r="AA93" s="124">
        <f>(AB61*AB64+AC61*AC64)/AA61</f>
        <v>53.000000000000007</v>
      </c>
      <c r="AB93" s="124">
        <f t="shared" si="257"/>
        <v>53</v>
      </c>
      <c r="AC93" s="124">
        <f t="shared" si="257"/>
        <v>53</v>
      </c>
      <c r="AD93" s="124">
        <f>(AE61*AE64+AF61*AF64)/AD61</f>
        <v>53.000000000000007</v>
      </c>
      <c r="AE93" s="124">
        <f t="shared" ref="AE93:AI93" si="258">AE64</f>
        <v>53</v>
      </c>
      <c r="AF93" s="124">
        <f t="shared" si="258"/>
        <v>53</v>
      </c>
      <c r="AG93" s="124">
        <f>(AH61*AH64+AI61*AI64)/AG61</f>
        <v>53.000000000000007</v>
      </c>
      <c r="AH93" s="124">
        <f t="shared" si="258"/>
        <v>53</v>
      </c>
      <c r="AI93" s="124">
        <f t="shared" si="258"/>
        <v>53</v>
      </c>
      <c r="AJ93" s="124">
        <f>(AK61*AK64+AL61*AL64)/AJ61</f>
        <v>53.000000000000007</v>
      </c>
      <c r="AK93" s="124">
        <f t="shared" ref="AK93:AO93" si="259">AK64</f>
        <v>53</v>
      </c>
      <c r="AL93" s="124">
        <f t="shared" si="259"/>
        <v>53</v>
      </c>
      <c r="AM93" s="124">
        <f>(AN61*AN64+AO61*AO64)/AM61</f>
        <v>53.000000000000007</v>
      </c>
      <c r="AN93" s="124">
        <f t="shared" si="259"/>
        <v>53</v>
      </c>
      <c r="AO93" s="124">
        <f t="shared" si="259"/>
        <v>53</v>
      </c>
      <c r="AP93" s="124">
        <f>(AQ61*AQ64+AR61*AR64)/AP61</f>
        <v>53.000000000000007</v>
      </c>
      <c r="AQ93" s="124">
        <f t="shared" ref="AQ93:AU93" si="260">AQ64</f>
        <v>53</v>
      </c>
      <c r="AR93" s="124">
        <f t="shared" si="260"/>
        <v>53</v>
      </c>
      <c r="AS93" s="124">
        <f>(AT61*AT64+AU61*AU64)/AS61</f>
        <v>53.000000000000007</v>
      </c>
      <c r="AT93" s="124">
        <f t="shared" si="260"/>
        <v>53</v>
      </c>
      <c r="AU93" s="124">
        <f t="shared" si="260"/>
        <v>53</v>
      </c>
      <c r="AV93" s="124">
        <f>(AW61*AW64+AX61*AX64)/AV61</f>
        <v>53.000000000000007</v>
      </c>
      <c r="AW93" s="124">
        <f t="shared" ref="AW93:BA93" si="261">AW64</f>
        <v>53</v>
      </c>
      <c r="AX93" s="124">
        <f t="shared" si="261"/>
        <v>53</v>
      </c>
      <c r="AY93" s="124">
        <f>(AZ61*AZ64+BA61*BA64)/AY61</f>
        <v>53.000000000000007</v>
      </c>
      <c r="AZ93" s="124">
        <f t="shared" si="261"/>
        <v>53</v>
      </c>
      <c r="BA93" s="124">
        <f t="shared" si="261"/>
        <v>53</v>
      </c>
      <c r="BB93" s="124">
        <f>(BC61*BC64+BD61*BD64)/BB61</f>
        <v>50.929364379088142</v>
      </c>
      <c r="BC93" s="124">
        <f t="shared" ref="BC93:BG93" si="262">BC64</f>
        <v>53</v>
      </c>
      <c r="BD93" s="124">
        <f t="shared" si="262"/>
        <v>48.882083000000016</v>
      </c>
      <c r="BE93" s="124">
        <f>(BF61*BF64+BG61*BG64)/BE61</f>
        <v>49.497768686159112</v>
      </c>
      <c r="BF93" s="124">
        <f t="shared" si="262"/>
        <v>48.88</v>
      </c>
      <c r="BG93" s="124">
        <f t="shared" si="262"/>
        <v>50.108569695754561</v>
      </c>
      <c r="BH93" s="124">
        <f>(BI61*BI64+BJ61*BJ64)/BH61</f>
        <v>50.793373319375931</v>
      </c>
      <c r="BI93" s="124">
        <f t="shared" ref="BI93:BM93" si="263">BI64</f>
        <v>50.11</v>
      </c>
      <c r="BJ93" s="124">
        <f t="shared" si="263"/>
        <v>51.469039022020354</v>
      </c>
      <c r="BK93" s="124">
        <f>(BL61*BL64+BM61*BM64)/BK61</f>
        <v>52.171920270370769</v>
      </c>
      <c r="BL93" s="124">
        <f t="shared" si="263"/>
        <v>51.47</v>
      </c>
      <c r="BM93" s="124">
        <f t="shared" si="263"/>
        <v>52.865923737046252</v>
      </c>
      <c r="BN93" s="124">
        <f>(BO61*BO64+BP61*BP64)/BN61</f>
        <v>53.591012719924279</v>
      </c>
      <c r="BO93" s="124">
        <f t="shared" ref="BO93:BS93" si="264">BO64</f>
        <v>52.87</v>
      </c>
      <c r="BP93" s="124">
        <f t="shared" si="264"/>
        <v>54.303893296631728</v>
      </c>
      <c r="BQ93" s="124">
        <f>(BR61*BR64+BS61*BS64)/BQ61</f>
        <v>55.040835823731122</v>
      </c>
      <c r="BR93" s="124">
        <f t="shared" si="264"/>
        <v>54.3</v>
      </c>
      <c r="BS93" s="124">
        <f t="shared" si="264"/>
        <v>55.773315923835938</v>
      </c>
      <c r="BT93" s="234"/>
      <c r="BU93" s="124"/>
      <c r="BV93" s="124"/>
      <c r="BW93" s="124"/>
      <c r="BX93" s="124"/>
      <c r="BY93" s="124"/>
      <c r="BZ93" s="124"/>
      <c r="CA93" s="124">
        <f>(CB61*CB64+CC61*CC64)/CA61</f>
        <v>61.616892922244546</v>
      </c>
      <c r="CB93" s="124">
        <f t="shared" ref="CB93:CF93" si="265">CB64</f>
        <v>57.44</v>
      </c>
      <c r="CC93" s="124">
        <f t="shared" si="265"/>
        <v>65.793785844489094</v>
      </c>
      <c r="CD93" s="124">
        <f>(CE61*CE64+CF61*CF64)/CD61</f>
        <v>65.790000000000006</v>
      </c>
      <c r="CE93" s="124">
        <f t="shared" si="265"/>
        <v>65.790000000000006</v>
      </c>
      <c r="CF93" s="124">
        <f t="shared" si="265"/>
        <v>65.790000000000006</v>
      </c>
      <c r="CG93" s="124">
        <f>(CH61*CH64+CI61*CI64)/CG61</f>
        <v>65.790000000000006</v>
      </c>
      <c r="CH93" s="124">
        <f t="shared" ref="CH93:CL93" si="266">CH64</f>
        <v>65.790000000000006</v>
      </c>
      <c r="CI93" s="124">
        <f t="shared" si="266"/>
        <v>65.790000000000006</v>
      </c>
      <c r="CJ93" s="124">
        <f>(CK61*CK64+CL61*CL64)/CJ61</f>
        <v>65.790000000000006</v>
      </c>
      <c r="CK93" s="124">
        <f t="shared" si="266"/>
        <v>65.790000000000006</v>
      </c>
      <c r="CL93" s="124">
        <f t="shared" si="266"/>
        <v>65.790000000000006</v>
      </c>
      <c r="CM93" s="124">
        <f>(CN61*CN64+CO61*CO64)/CM61</f>
        <v>65.790000000000006</v>
      </c>
      <c r="CN93" s="124">
        <f t="shared" ref="CN93:CR93" si="267">CN64</f>
        <v>65.790000000000006</v>
      </c>
      <c r="CO93" s="124">
        <f t="shared" si="267"/>
        <v>65.790000000000006</v>
      </c>
      <c r="CP93" s="124">
        <f>(CQ61*CQ64+CR61*CR64)/CP61</f>
        <v>65.790000000000006</v>
      </c>
      <c r="CQ93" s="124">
        <f t="shared" si="267"/>
        <v>65.790000000000006</v>
      </c>
      <c r="CR93" s="124">
        <f t="shared" si="267"/>
        <v>65.790000000000006</v>
      </c>
      <c r="CS93" s="124">
        <f>(CT61*CT64+CU61*CU64)/CS61</f>
        <v>65.790000000000006</v>
      </c>
      <c r="CT93" s="124">
        <f t="shared" ref="CT93:CX93" si="268">CT64</f>
        <v>65.790000000000006</v>
      </c>
      <c r="CU93" s="124">
        <f t="shared" si="268"/>
        <v>65.790000000000006</v>
      </c>
      <c r="CV93" s="124">
        <f>(CW61*CW64+CX61*CX64)/CV61</f>
        <v>65.790000000000006</v>
      </c>
      <c r="CW93" s="124">
        <f t="shared" si="268"/>
        <v>65.790000000000006</v>
      </c>
      <c r="CX93" s="124">
        <f t="shared" si="268"/>
        <v>65.790000000000006</v>
      </c>
      <c r="CY93" s="124">
        <f>(CZ61*CZ64+DA61*DA64)/CY61</f>
        <v>65.790000000000006</v>
      </c>
      <c r="CZ93" s="124">
        <f t="shared" ref="CZ93:DD93" si="269">CZ64</f>
        <v>65.790000000000006</v>
      </c>
      <c r="DA93" s="124">
        <f t="shared" si="269"/>
        <v>65.790000000000006</v>
      </c>
      <c r="DB93" s="124">
        <f>(DC61*DC64+DD61*DD64)/DB61</f>
        <v>65.790000000000006</v>
      </c>
      <c r="DC93" s="124">
        <f t="shared" si="269"/>
        <v>65.790000000000006</v>
      </c>
      <c r="DD93" s="124">
        <f t="shared" si="269"/>
        <v>65.790000000000006</v>
      </c>
      <c r="DE93" s="124">
        <f>(DF61*DF64+DG61*DG64)/DE61</f>
        <v>65.790000000000006</v>
      </c>
      <c r="DF93" s="124">
        <f t="shared" ref="DF93:DJ93" si="270">DF64</f>
        <v>65.790000000000006</v>
      </c>
      <c r="DG93" s="124">
        <f t="shared" si="270"/>
        <v>65.790000000000006</v>
      </c>
      <c r="DH93" s="124">
        <f>(DI61*DI64+DJ61*DJ64)/DH61</f>
        <v>65.790000000000006</v>
      </c>
      <c r="DI93" s="124">
        <f t="shared" si="270"/>
        <v>65.790000000000006</v>
      </c>
      <c r="DJ93" s="124">
        <f t="shared" si="270"/>
        <v>65.790000000000006</v>
      </c>
      <c r="DK93" s="124">
        <f>(DL61*DL64+DM61*DM64)/DK61</f>
        <v>65.790000000000006</v>
      </c>
      <c r="DL93" s="124">
        <f t="shared" ref="DL93:DP93" si="271">DL64</f>
        <v>65.790000000000006</v>
      </c>
      <c r="DM93" s="124">
        <f t="shared" si="271"/>
        <v>65.790000000000006</v>
      </c>
      <c r="DN93" s="124">
        <f>(DO61*DO64+DP61*DP64)/DN61</f>
        <v>65.790000000000006</v>
      </c>
      <c r="DO93" s="124">
        <f t="shared" si="271"/>
        <v>65.790000000000006</v>
      </c>
      <c r="DP93" s="124">
        <f t="shared" si="271"/>
        <v>65.790000000000006</v>
      </c>
      <c r="DQ93" s="124">
        <f>(DR61*DR64+DS61*DS64)/DQ61</f>
        <v>61.708653697341369</v>
      </c>
      <c r="DR93" s="124">
        <f t="shared" ref="DR93:DV93" si="272">DR64</f>
        <v>65.790000000000006</v>
      </c>
      <c r="DS93" s="124">
        <f t="shared" si="272"/>
        <v>57.378245353914217</v>
      </c>
      <c r="DT93" s="124">
        <f>(DU61*DU64+DV61*DV64)/DT61</f>
        <v>52.258357779724335</v>
      </c>
      <c r="DU93" s="124">
        <f t="shared" si="272"/>
        <v>57.38</v>
      </c>
      <c r="DV93" s="124">
        <f t="shared" si="272"/>
        <v>46.824170000000024</v>
      </c>
      <c r="DW93" s="124">
        <f>(DX61*DX64+DY61*DY64)/DW61</f>
        <v>48.159796450821382</v>
      </c>
      <c r="DX93" s="124">
        <f t="shared" ref="DX93:EB93" si="273">DX64</f>
        <v>46.82</v>
      </c>
      <c r="DY93" s="124">
        <f t="shared" si="273"/>
        <v>49.581353284984566</v>
      </c>
      <c r="DZ93" s="124">
        <f>(EA61*EA64+EB61*EB64)/DZ61</f>
        <v>50.391120663144505</v>
      </c>
      <c r="EA93" s="124">
        <f t="shared" si="273"/>
        <v>49.58</v>
      </c>
      <c r="EB93" s="124">
        <f t="shared" si="273"/>
        <v>51.251739543958188</v>
      </c>
      <c r="EC93" s="124">
        <f>(ED61*ED64+EE61*EE64)/EC61</f>
        <v>52.718822337066911</v>
      </c>
      <c r="ED93" s="124">
        <f t="shared" ref="ED93:EH93" si="274">ED64</f>
        <v>51.25</v>
      </c>
      <c r="EE93" s="124">
        <f t="shared" si="274"/>
        <v>54.277278795246751</v>
      </c>
      <c r="EF93" s="124">
        <f>(EG61*EG64+EH61*EH64)/EF61</f>
        <v>55.158035052922436</v>
      </c>
      <c r="EG93" s="124">
        <f t="shared" si="274"/>
        <v>54.28</v>
      </c>
      <c r="EH93" s="124">
        <f t="shared" si="274"/>
        <v>56.089651739435915</v>
      </c>
    </row>
    <row r="94" spans="1:138" s="97" customFormat="1">
      <c r="A94" s="202"/>
      <c r="B94" s="203"/>
      <c r="C94" s="199"/>
      <c r="D94" s="199"/>
      <c r="E94" s="200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0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</row>
    <row r="95" spans="1:138">
      <c r="B95" s="176" t="s">
        <v>683</v>
      </c>
      <c r="I95" s="152"/>
      <c r="J95" s="212"/>
      <c r="K95" s="213"/>
      <c r="L95" s="214">
        <f t="shared" ref="L95:L97" si="275">L91+CA91</f>
        <v>57.725028740571915</v>
      </c>
      <c r="M95" s="215"/>
      <c r="N95" s="215"/>
      <c r="O95" s="215">
        <f t="shared" ref="O95:X97" si="276">O91+CD91</f>
        <v>61.019839855090858</v>
      </c>
      <c r="P95" s="215">
        <f t="shared" si="276"/>
        <v>59.896142616017585</v>
      </c>
      <c r="Q95" s="215">
        <f t="shared" si="276"/>
        <v>62.470072624737064</v>
      </c>
      <c r="R95" s="215">
        <f t="shared" si="276"/>
        <v>63.377782333669003</v>
      </c>
      <c r="S95" s="215">
        <f t="shared" si="276"/>
        <v>62.15142676158758</v>
      </c>
      <c r="T95" s="215">
        <f t="shared" si="276"/>
        <v>64.851843630738529</v>
      </c>
      <c r="U95" s="215">
        <f t="shared" si="276"/>
        <v>65.749507994166578</v>
      </c>
      <c r="V95" s="215">
        <f t="shared" si="276"/>
        <v>64.54471655067988</v>
      </c>
      <c r="W95" s="215">
        <f t="shared" si="276"/>
        <v>67.379336093043264</v>
      </c>
      <c r="X95" s="215">
        <f t="shared" si="276"/>
        <v>68.377667796255309</v>
      </c>
      <c r="Y95" s="215">
        <f t="shared" ref="Y95:AH97" si="277">Y91+CN91</f>
        <v>67.095912836479073</v>
      </c>
      <c r="Z95" s="215">
        <f t="shared" si="277"/>
        <v>70.073625111078712</v>
      </c>
      <c r="AA95" s="215">
        <f t="shared" si="277"/>
        <v>71.430939416978333</v>
      </c>
      <c r="AB95" s="215">
        <f t="shared" si="277"/>
        <v>69.81143251525171</v>
      </c>
      <c r="AC95" s="215">
        <f t="shared" si="277"/>
        <v>73.209780193297235</v>
      </c>
      <c r="AD95" s="215">
        <f t="shared" si="277"/>
        <v>74.526685911101055</v>
      </c>
      <c r="AE95" s="215">
        <f t="shared" si="277"/>
        <v>72.96761195623489</v>
      </c>
      <c r="AF95" s="215">
        <f t="shared" si="277"/>
        <v>76.561801328576038</v>
      </c>
      <c r="AG95" s="215">
        <f t="shared" si="277"/>
        <v>77.900289942645841</v>
      </c>
      <c r="AH95" s="215">
        <f t="shared" si="277"/>
        <v>76.340750289093862</v>
      </c>
      <c r="AI95" s="215">
        <f t="shared" ref="AI95:AR97" si="278">AI91+CX91</f>
        <v>80.144234226599522</v>
      </c>
      <c r="AJ95" s="215">
        <f t="shared" si="278"/>
        <v>80.846795478798313</v>
      </c>
      <c r="AK95" s="215">
        <f t="shared" si="278"/>
        <v>79.950423284820687</v>
      </c>
      <c r="AL95" s="215">
        <f t="shared" si="278"/>
        <v>81.786307833039501</v>
      </c>
      <c r="AM95" s="215">
        <f t="shared" si="278"/>
        <v>82.521883455309393</v>
      </c>
      <c r="AN95" s="215">
        <f t="shared" si="278"/>
        <v>81.607466253665692</v>
      </c>
      <c r="AO95" s="215">
        <f t="shared" si="278"/>
        <v>83.480397095321479</v>
      </c>
      <c r="AP95" s="215">
        <f t="shared" si="278"/>
        <v>84.243343828104727</v>
      </c>
      <c r="AQ95" s="215">
        <f t="shared" si="278"/>
        <v>83.31040274295394</v>
      </c>
      <c r="AR95" s="215">
        <f t="shared" si="278"/>
        <v>85.221362456686393</v>
      </c>
      <c r="AS95" s="215">
        <f t="shared" ref="AS95:BB97" si="279">AS91+DH91</f>
        <v>86.602264817239245</v>
      </c>
      <c r="AT95" s="215">
        <f t="shared" si="279"/>
        <v>85.065974731144465</v>
      </c>
      <c r="AU95" s="215">
        <f t="shared" si="279"/>
        <v>88.213456045952</v>
      </c>
      <c r="AV95" s="215">
        <f t="shared" si="279"/>
        <v>89.062216169376526</v>
      </c>
      <c r="AW95" s="215">
        <f t="shared" si="279"/>
        <v>88.077406550146392</v>
      </c>
      <c r="AX95" s="215">
        <f t="shared" si="279"/>
        <v>90.094850907492088</v>
      </c>
      <c r="AY95" s="215">
        <f t="shared" si="279"/>
        <v>91.615053250971329</v>
      </c>
      <c r="AZ95" s="215">
        <f t="shared" si="279"/>
        <v>89.977726160318312</v>
      </c>
      <c r="BA95" s="215">
        <f t="shared" si="279"/>
        <v>93.33246038265338</v>
      </c>
      <c r="BB95" s="215">
        <f t="shared" si="279"/>
        <v>93.204033430729254</v>
      </c>
      <c r="BC95" s="215">
        <f t="shared" ref="BC95:BL97" si="280">BC91+DR91</f>
        <v>93.24559349537256</v>
      </c>
      <c r="BD95" s="215">
        <f t="shared" si="280"/>
        <v>94.031221431986992</v>
      </c>
      <c r="BE95" s="215">
        <f t="shared" si="280"/>
        <v>96.524551755612762</v>
      </c>
      <c r="BF95" s="215">
        <f t="shared" si="280"/>
        <v>94.03531462527414</v>
      </c>
      <c r="BG95" s="215">
        <f t="shared" si="280"/>
        <v>96.935328478869252</v>
      </c>
      <c r="BH95" s="215">
        <f t="shared" si="280"/>
        <v>99.24074071179966</v>
      </c>
      <c r="BI95" s="215">
        <f t="shared" si="280"/>
        <v>96.932761807822089</v>
      </c>
      <c r="BJ95" s="215">
        <f t="shared" si="280"/>
        <v>101.05337896733394</v>
      </c>
      <c r="BK95" s="215">
        <f t="shared" si="280"/>
        <v>102.73081431325727</v>
      </c>
      <c r="BL95" s="215">
        <f t="shared" si="280"/>
        <v>101.05013003287704</v>
      </c>
      <c r="BM95" s="215">
        <f t="shared" ref="BM95:BS97" si="281">BM91+EB91</f>
        <v>104.11785524661958</v>
      </c>
      <c r="BN95" s="215">
        <f t="shared" si="281"/>
        <v>106.34966832436102</v>
      </c>
      <c r="BO95" s="215">
        <f t="shared" si="281"/>
        <v>104.11775832368586</v>
      </c>
      <c r="BP95" s="215">
        <f t="shared" si="281"/>
        <v>108.5792264635447</v>
      </c>
      <c r="BQ95" s="215">
        <f t="shared" si="281"/>
        <v>110.10206579583442</v>
      </c>
      <c r="BR95" s="215">
        <f t="shared" si="281"/>
        <v>108.5762798951171</v>
      </c>
      <c r="BS95" s="215">
        <f t="shared" si="281"/>
        <v>111.85926377821193</v>
      </c>
    </row>
    <row r="96" spans="1:138">
      <c r="B96" s="176" t="s">
        <v>682</v>
      </c>
      <c r="I96" s="152"/>
      <c r="J96" s="214"/>
      <c r="K96" s="215"/>
      <c r="L96" s="214">
        <f t="shared" si="275"/>
        <v>43.268514473517925</v>
      </c>
      <c r="M96" s="215"/>
      <c r="N96" s="215"/>
      <c r="O96" s="215">
        <f t="shared" si="276"/>
        <v>45.927456190632469</v>
      </c>
      <c r="P96" s="215">
        <f t="shared" si="276"/>
        <v>44.541666666666671</v>
      </c>
      <c r="Q96" s="215">
        <f t="shared" si="276"/>
        <v>47.39233333333334</v>
      </c>
      <c r="R96" s="215">
        <f t="shared" si="276"/>
        <v>48.87471856581395</v>
      </c>
      <c r="S96" s="215">
        <f t="shared" si="276"/>
        <v>47.400000000000006</v>
      </c>
      <c r="T96" s="215">
        <f t="shared" si="276"/>
        <v>50.433600000000013</v>
      </c>
      <c r="U96" s="215">
        <f t="shared" si="276"/>
        <v>52.002425712021648</v>
      </c>
      <c r="V96" s="215">
        <f t="shared" si="276"/>
        <v>50.433333333333337</v>
      </c>
      <c r="W96" s="215">
        <f t="shared" si="276"/>
        <v>53.66106666666667</v>
      </c>
      <c r="X96" s="215">
        <f t="shared" si="276"/>
        <v>55.336355107987046</v>
      </c>
      <c r="Y96" s="215">
        <f t="shared" si="277"/>
        <v>53.666666666666671</v>
      </c>
      <c r="Z96" s="215">
        <f t="shared" si="277"/>
        <v>57.101333333333301</v>
      </c>
      <c r="AA96" s="215">
        <f t="shared" si="277"/>
        <v>59.051671492120079</v>
      </c>
      <c r="AB96" s="215">
        <f t="shared" si="277"/>
        <v>57.108333333333334</v>
      </c>
      <c r="AC96" s="215">
        <f t="shared" si="277"/>
        <v>61.105916666666673</v>
      </c>
      <c r="AD96" s="215">
        <f t="shared" si="277"/>
        <v>63.187787175728197</v>
      </c>
      <c r="AE96" s="215">
        <f t="shared" si="277"/>
        <v>61.108333333333341</v>
      </c>
      <c r="AF96" s="215">
        <f t="shared" si="277"/>
        <v>65.385916666666674</v>
      </c>
      <c r="AG96" s="215">
        <f t="shared" si="277"/>
        <v>67.608260870482525</v>
      </c>
      <c r="AH96" s="215">
        <f t="shared" si="277"/>
        <v>65.383333333333326</v>
      </c>
      <c r="AI96" s="215">
        <f t="shared" si="278"/>
        <v>69.96016666666668</v>
      </c>
      <c r="AJ96" s="215">
        <f t="shared" si="278"/>
        <v>70.978594878521278</v>
      </c>
      <c r="AK96" s="215">
        <f t="shared" si="278"/>
        <v>69.9583333333333</v>
      </c>
      <c r="AL96" s="215">
        <f t="shared" si="278"/>
        <v>72.057083333333338</v>
      </c>
      <c r="AM96" s="215">
        <f t="shared" si="278"/>
        <v>73.109220864795731</v>
      </c>
      <c r="AN96" s="215">
        <f t="shared" si="278"/>
        <v>72.058333333333337</v>
      </c>
      <c r="AO96" s="215">
        <f t="shared" si="278"/>
        <v>74.220083333333335</v>
      </c>
      <c r="AP96" s="215">
        <f t="shared" si="278"/>
        <v>75.29903102440386</v>
      </c>
      <c r="AQ96" s="215">
        <f t="shared" si="278"/>
        <v>74.216666666666598</v>
      </c>
      <c r="AR96" s="215">
        <f t="shared" si="278"/>
        <v>76.443166666666684</v>
      </c>
      <c r="AS96" s="215">
        <f t="shared" si="279"/>
        <v>78.299689017561207</v>
      </c>
      <c r="AT96" s="215">
        <f t="shared" si="279"/>
        <v>76.441666666666691</v>
      </c>
      <c r="AU96" s="215">
        <f t="shared" si="279"/>
        <v>80.263750000000016</v>
      </c>
      <c r="AV96" s="215">
        <f t="shared" si="279"/>
        <v>81.428808413902175</v>
      </c>
      <c r="AW96" s="215">
        <f t="shared" si="279"/>
        <v>80.25833333333334</v>
      </c>
      <c r="AX96" s="215">
        <f t="shared" si="279"/>
        <v>82.666083333333304</v>
      </c>
      <c r="AY96" s="215">
        <f t="shared" si="279"/>
        <v>84.675996260518517</v>
      </c>
      <c r="AZ96" s="215">
        <f t="shared" si="279"/>
        <v>82.666666666666657</v>
      </c>
      <c r="BA96" s="215">
        <f t="shared" si="279"/>
        <v>86.8</v>
      </c>
      <c r="BB96" s="215">
        <f t="shared" si="279"/>
        <v>88.920729173311628</v>
      </c>
      <c r="BC96" s="215">
        <f t="shared" si="280"/>
        <v>86.808333333333366</v>
      </c>
      <c r="BD96" s="215">
        <f t="shared" si="280"/>
        <v>91.14875000000022</v>
      </c>
      <c r="BE96" s="215">
        <f t="shared" si="280"/>
        <v>93.960837936360548</v>
      </c>
      <c r="BF96" s="215">
        <f t="shared" si="280"/>
        <v>91.15</v>
      </c>
      <c r="BG96" s="215">
        <f t="shared" si="280"/>
        <v>96.936153477103318</v>
      </c>
      <c r="BH96" s="215">
        <f t="shared" si="280"/>
        <v>98.935636519558884</v>
      </c>
      <c r="BI96" s="215">
        <f t="shared" si="280"/>
        <v>96.933333333333337</v>
      </c>
      <c r="BJ96" s="215">
        <f t="shared" si="280"/>
        <v>101.05397532883664</v>
      </c>
      <c r="BK96" s="215">
        <f t="shared" si="280"/>
        <v>102.54108594650376</v>
      </c>
      <c r="BL96" s="215">
        <f t="shared" si="280"/>
        <v>101.04999999999997</v>
      </c>
      <c r="BM96" s="215">
        <f t="shared" si="281"/>
        <v>104.11768527069873</v>
      </c>
      <c r="BN96" s="215">
        <f t="shared" si="281"/>
        <v>106.28448288626673</v>
      </c>
      <c r="BO96" s="215">
        <f t="shared" si="281"/>
        <v>104.11666666666667</v>
      </c>
      <c r="BP96" s="215">
        <f t="shared" si="281"/>
        <v>108.57801458600312</v>
      </c>
      <c r="BQ96" s="215">
        <f t="shared" si="281"/>
        <v>110.17064727984669</v>
      </c>
      <c r="BR96" s="215">
        <f t="shared" si="281"/>
        <v>108.57500000000002</v>
      </c>
      <c r="BS96" s="215">
        <f t="shared" si="281"/>
        <v>111.8578526865201</v>
      </c>
    </row>
    <row r="97" spans="1:138" ht="30">
      <c r="A97" s="97"/>
      <c r="B97" s="176" t="s">
        <v>449</v>
      </c>
      <c r="I97" s="152"/>
      <c r="J97" s="214"/>
      <c r="K97" s="215"/>
      <c r="L97" s="214">
        <f t="shared" si="275"/>
        <v>111.18324743963153</v>
      </c>
      <c r="M97" s="215"/>
      <c r="N97" s="215"/>
      <c r="O97" s="216">
        <f t="shared" si="276"/>
        <v>118.79000000000002</v>
      </c>
      <c r="P97" s="215">
        <f t="shared" si="276"/>
        <v>118.79</v>
      </c>
      <c r="Q97" s="215">
        <f t="shared" si="276"/>
        <v>118.79</v>
      </c>
      <c r="R97" s="215">
        <f t="shared" si="276"/>
        <v>118.79000000000002</v>
      </c>
      <c r="S97" s="215">
        <f t="shared" si="276"/>
        <v>118.79</v>
      </c>
      <c r="T97" s="215">
        <f t="shared" si="276"/>
        <v>118.79</v>
      </c>
      <c r="U97" s="215">
        <f t="shared" si="276"/>
        <v>118.79000000000002</v>
      </c>
      <c r="V97" s="215">
        <f t="shared" si="276"/>
        <v>118.79</v>
      </c>
      <c r="W97" s="215">
        <f t="shared" si="276"/>
        <v>118.79</v>
      </c>
      <c r="X97" s="215">
        <f t="shared" si="276"/>
        <v>118.79000000000002</v>
      </c>
      <c r="Y97" s="215">
        <f t="shared" si="277"/>
        <v>118.79</v>
      </c>
      <c r="Z97" s="215">
        <f t="shared" si="277"/>
        <v>118.79</v>
      </c>
      <c r="AA97" s="215">
        <f t="shared" si="277"/>
        <v>118.79000000000002</v>
      </c>
      <c r="AB97" s="215">
        <f t="shared" si="277"/>
        <v>118.79</v>
      </c>
      <c r="AC97" s="215">
        <f t="shared" si="277"/>
        <v>118.79</v>
      </c>
      <c r="AD97" s="215">
        <f t="shared" si="277"/>
        <v>118.79000000000002</v>
      </c>
      <c r="AE97" s="215">
        <f t="shared" si="277"/>
        <v>118.79</v>
      </c>
      <c r="AF97" s="215">
        <f t="shared" si="277"/>
        <v>118.79</v>
      </c>
      <c r="AG97" s="215">
        <f t="shared" si="277"/>
        <v>118.79000000000002</v>
      </c>
      <c r="AH97" s="215">
        <f t="shared" si="277"/>
        <v>118.79</v>
      </c>
      <c r="AI97" s="215">
        <f t="shared" si="278"/>
        <v>118.79</v>
      </c>
      <c r="AJ97" s="215">
        <f t="shared" si="278"/>
        <v>118.79000000000002</v>
      </c>
      <c r="AK97" s="215">
        <f t="shared" si="278"/>
        <v>118.79</v>
      </c>
      <c r="AL97" s="215">
        <f t="shared" si="278"/>
        <v>118.79</v>
      </c>
      <c r="AM97" s="215">
        <f t="shared" si="278"/>
        <v>118.79000000000002</v>
      </c>
      <c r="AN97" s="215">
        <f t="shared" si="278"/>
        <v>118.79</v>
      </c>
      <c r="AO97" s="215">
        <f t="shared" si="278"/>
        <v>118.79</v>
      </c>
      <c r="AP97" s="215">
        <f t="shared" si="278"/>
        <v>118.79000000000002</v>
      </c>
      <c r="AQ97" s="215">
        <f t="shared" si="278"/>
        <v>118.79</v>
      </c>
      <c r="AR97" s="215">
        <f t="shared" si="278"/>
        <v>118.79</v>
      </c>
      <c r="AS97" s="215">
        <f t="shared" si="279"/>
        <v>118.79000000000002</v>
      </c>
      <c r="AT97" s="215">
        <f t="shared" si="279"/>
        <v>118.79</v>
      </c>
      <c r="AU97" s="215">
        <f t="shared" si="279"/>
        <v>118.79</v>
      </c>
      <c r="AV97" s="215">
        <f t="shared" si="279"/>
        <v>118.79000000000002</v>
      </c>
      <c r="AW97" s="215">
        <f t="shared" si="279"/>
        <v>118.79</v>
      </c>
      <c r="AX97" s="215">
        <f t="shared" si="279"/>
        <v>118.79</v>
      </c>
      <c r="AY97" s="215">
        <f t="shared" si="279"/>
        <v>118.79000000000002</v>
      </c>
      <c r="AZ97" s="215">
        <f t="shared" si="279"/>
        <v>118.79</v>
      </c>
      <c r="BA97" s="215">
        <f t="shared" si="279"/>
        <v>118.79</v>
      </c>
      <c r="BB97" s="215">
        <f t="shared" si="279"/>
        <v>112.63801807642952</v>
      </c>
      <c r="BC97" s="215">
        <f t="shared" si="280"/>
        <v>118.79</v>
      </c>
      <c r="BD97" s="215">
        <f t="shared" si="280"/>
        <v>106.26032835391423</v>
      </c>
      <c r="BE97" s="215">
        <f t="shared" si="280"/>
        <v>101.75612646588345</v>
      </c>
      <c r="BF97" s="215">
        <f t="shared" si="280"/>
        <v>106.26</v>
      </c>
      <c r="BG97" s="215">
        <f t="shared" si="280"/>
        <v>96.932739695754577</v>
      </c>
      <c r="BH97" s="215">
        <f t="shared" si="280"/>
        <v>98.95316977019732</v>
      </c>
      <c r="BI97" s="215">
        <f t="shared" si="280"/>
        <v>96.93</v>
      </c>
      <c r="BJ97" s="215">
        <f t="shared" si="280"/>
        <v>101.05039230700493</v>
      </c>
      <c r="BK97" s="215">
        <f t="shared" si="280"/>
        <v>102.56304093351528</v>
      </c>
      <c r="BL97" s="215">
        <f t="shared" si="280"/>
        <v>101.05</v>
      </c>
      <c r="BM97" s="215">
        <f t="shared" si="281"/>
        <v>104.11766328100444</v>
      </c>
      <c r="BN97" s="215">
        <f t="shared" si="281"/>
        <v>106.30983505699119</v>
      </c>
      <c r="BO97" s="215">
        <f t="shared" si="281"/>
        <v>104.12</v>
      </c>
      <c r="BP97" s="215">
        <f t="shared" si="281"/>
        <v>108.58117209187847</v>
      </c>
      <c r="BQ97" s="215">
        <f t="shared" si="281"/>
        <v>110.19887087665356</v>
      </c>
      <c r="BR97" s="215">
        <f t="shared" si="281"/>
        <v>108.58</v>
      </c>
      <c r="BS97" s="215">
        <f t="shared" si="281"/>
        <v>111.86296766327186</v>
      </c>
    </row>
    <row r="98" spans="1:138" ht="30">
      <c r="A98" s="97"/>
      <c r="B98" s="204" t="s">
        <v>684</v>
      </c>
      <c r="I98" s="152"/>
      <c r="J98" s="217"/>
      <c r="K98" s="218"/>
      <c r="L98" s="217"/>
      <c r="M98" s="218"/>
      <c r="N98" s="219"/>
      <c r="O98" s="217">
        <f t="shared" ref="O98:O100" si="282">(Q95+CF95)/(P95+CE95)</f>
        <v>1.0429732182457965</v>
      </c>
      <c r="P98" s="218"/>
      <c r="Q98" s="218"/>
      <c r="R98" s="218">
        <f t="shared" ref="R98:R100" si="283">(T95+CI95)/(S95+CH95)</f>
        <v>1.0434489924022134</v>
      </c>
      <c r="S98" s="218"/>
      <c r="T98" s="218"/>
      <c r="U98" s="218">
        <f t="shared" ref="U98:U100" si="284">(W95+CL95)/(V95+CK95)</f>
        <v>1.0439171429335765</v>
      </c>
      <c r="V98" s="218"/>
      <c r="W98" s="218"/>
      <c r="X98" s="218">
        <f t="shared" ref="X98:X100" si="285">(Z95+CO95)/(Y95+CN95)</f>
        <v>1.0443799353599479</v>
      </c>
      <c r="Y98" s="218"/>
      <c r="Z98" s="218"/>
      <c r="AA98" s="218">
        <f t="shared" ref="AA98:AA100" si="286">(AC95+CR95)/(AB95+CQ95)</f>
        <v>1.0486789563772823</v>
      </c>
      <c r="AB98" s="218"/>
      <c r="AC98" s="218"/>
      <c r="AD98" s="218">
        <f t="shared" ref="AD98:AD100" si="287">(AF95+CU95)/(AE95+CT95)</f>
        <v>1.0492573249416042</v>
      </c>
      <c r="AE98" s="218"/>
      <c r="AF98" s="218"/>
      <c r="AG98" s="218">
        <f t="shared" ref="AG98:AG100" si="288">(AI95+CX95)/(AH95+CW95)</f>
        <v>1.0498224594741641</v>
      </c>
      <c r="AH98" s="218"/>
      <c r="AI98" s="218"/>
      <c r="AJ98" s="218">
        <f t="shared" ref="AJ98:AJ100" si="289">(AL95+DA95)/(AK95+CZ95)</f>
        <v>1.0229627870971807</v>
      </c>
      <c r="AK98" s="218"/>
      <c r="AL98" s="218"/>
      <c r="AM98" s="218">
        <f t="shared" ref="AM98:AM100" si="290">(AO95+DD95)/(AN95+DC95)</f>
        <v>1.0229504839157</v>
      </c>
      <c r="AN98" s="218"/>
      <c r="AO98" s="218"/>
      <c r="AP98" s="218">
        <f t="shared" ref="AP98:AP100" si="291">(AR95+DG95)/(AQ95+DF95)</f>
        <v>1.0229378283001287</v>
      </c>
      <c r="AQ98" s="218"/>
      <c r="AR98" s="218"/>
      <c r="AS98" s="218">
        <f t="shared" ref="AS98:AS100" si="292">(AU95+DJ95)/(AT95+DI95)</f>
        <v>1.0370004731592781</v>
      </c>
      <c r="AT98" s="218"/>
      <c r="AU98" s="218"/>
      <c r="AV98" s="218">
        <f t="shared" ref="AV98:AV100" si="293">(AX95+DM95)/(AW95+DL95)</f>
        <v>1.0229053560540191</v>
      </c>
      <c r="AW98" s="218"/>
      <c r="AX98" s="218"/>
      <c r="AY98" s="218">
        <f t="shared" ref="AY98:AY100" si="294">(BA95+DP95)/(AZ95+DO95)</f>
        <v>1.0372840520148037</v>
      </c>
      <c r="AZ98" s="218"/>
      <c r="BA98" s="218"/>
      <c r="BB98" s="218">
        <f t="shared" ref="BB98:BB100" si="295">(BD95+DS95)/(BC95+DR95)</f>
        <v>1.0084253626060455</v>
      </c>
      <c r="BC98" s="218"/>
      <c r="BD98" s="218"/>
      <c r="BE98" s="218">
        <f t="shared" ref="BE98:BE100" si="296">(BG95+DV95)/(BF95+DU95)</f>
        <v>1.0308396251466965</v>
      </c>
      <c r="BF98" s="218"/>
      <c r="BG98" s="218"/>
      <c r="BH98" s="218">
        <f t="shared" ref="BH98:BH100" si="297">(BJ95+EK95)/(BI95+EJ95)</f>
        <v>1.0425100562767555</v>
      </c>
      <c r="BI98" s="218"/>
      <c r="BJ98" s="218"/>
      <c r="BK98" s="218">
        <f t="shared" ref="BK98:BK100" si="298">(BM95+EN95)/(BL95+EM95)</f>
        <v>1.0303584489475119</v>
      </c>
      <c r="BL98" s="218"/>
      <c r="BM98" s="218"/>
      <c r="BN98" s="218">
        <f t="shared" ref="BN98:BN100" si="299">(BP95+EQ95)/(BO95+EP95)</f>
        <v>1.0428502131787052</v>
      </c>
      <c r="BO98" s="218"/>
      <c r="BP98" s="218"/>
      <c r="BQ98" s="218">
        <f t="shared" ref="BQ98:BQ100" si="300">(BS95+ET95)/(BR95+ES95)</f>
        <v>1.0302366583775584</v>
      </c>
      <c r="BR98" s="218"/>
      <c r="BS98" s="218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</row>
    <row r="99" spans="1:138">
      <c r="A99" s="97"/>
      <c r="B99" s="205" t="s">
        <v>667</v>
      </c>
      <c r="I99" s="152"/>
      <c r="J99" s="220"/>
      <c r="K99" s="221"/>
      <c r="L99" s="220"/>
      <c r="M99" s="221"/>
      <c r="N99" s="222"/>
      <c r="O99" s="220">
        <f t="shared" si="282"/>
        <v>1.0640000000000001</v>
      </c>
      <c r="P99" s="221"/>
      <c r="Q99" s="221"/>
      <c r="R99" s="221">
        <f t="shared" si="283"/>
        <v>1.0640000000000001</v>
      </c>
      <c r="S99" s="221"/>
      <c r="T99" s="221"/>
      <c r="U99" s="221">
        <f t="shared" si="284"/>
        <v>1.0640000000000001</v>
      </c>
      <c r="V99" s="221"/>
      <c r="W99" s="221"/>
      <c r="X99" s="221">
        <f t="shared" si="285"/>
        <v>1.0639999999999994</v>
      </c>
      <c r="Y99" s="221"/>
      <c r="Z99" s="221"/>
      <c r="AA99" s="221">
        <f t="shared" si="286"/>
        <v>1.07</v>
      </c>
      <c r="AB99" s="221"/>
      <c r="AC99" s="221"/>
      <c r="AD99" s="221">
        <f t="shared" si="287"/>
        <v>1.07</v>
      </c>
      <c r="AE99" s="221"/>
      <c r="AF99" s="221"/>
      <c r="AG99" s="221">
        <f t="shared" si="288"/>
        <v>1.0700000000000003</v>
      </c>
      <c r="AH99" s="221"/>
      <c r="AI99" s="221"/>
      <c r="AJ99" s="221">
        <f t="shared" si="289"/>
        <v>1.0300000000000005</v>
      </c>
      <c r="AK99" s="221"/>
      <c r="AL99" s="221"/>
      <c r="AM99" s="221">
        <f t="shared" si="290"/>
        <v>1.03</v>
      </c>
      <c r="AN99" s="221"/>
      <c r="AO99" s="221"/>
      <c r="AP99" s="221">
        <f t="shared" si="291"/>
        <v>1.0300000000000011</v>
      </c>
      <c r="AQ99" s="221"/>
      <c r="AR99" s="221"/>
      <c r="AS99" s="221">
        <f t="shared" si="292"/>
        <v>1.0499999999999998</v>
      </c>
      <c r="AT99" s="221"/>
      <c r="AU99" s="221"/>
      <c r="AV99" s="221">
        <f t="shared" si="293"/>
        <v>1.0299999999999996</v>
      </c>
      <c r="AW99" s="221"/>
      <c r="AX99" s="221"/>
      <c r="AY99" s="221">
        <f t="shared" si="294"/>
        <v>1.05</v>
      </c>
      <c r="AZ99" s="221"/>
      <c r="BA99" s="221"/>
      <c r="BB99" s="221">
        <f t="shared" si="295"/>
        <v>1.050000000000002</v>
      </c>
      <c r="BC99" s="221"/>
      <c r="BD99" s="221"/>
      <c r="BE99" s="221">
        <f t="shared" si="296"/>
        <v>1.0634794676588406</v>
      </c>
      <c r="BF99" s="221"/>
      <c r="BG99" s="221"/>
      <c r="BH99" s="221">
        <f t="shared" si="297"/>
        <v>1.0425100618518224</v>
      </c>
      <c r="BI99" s="221"/>
      <c r="BJ99" s="221"/>
      <c r="BK99" s="221">
        <f t="shared" si="298"/>
        <v>1.030358092733288</v>
      </c>
      <c r="BL99" s="221"/>
      <c r="BM99" s="221"/>
      <c r="BN99" s="221">
        <f t="shared" si="299"/>
        <v>1.0428495077893687</v>
      </c>
      <c r="BO99" s="221"/>
      <c r="BP99" s="221"/>
      <c r="BQ99" s="221">
        <f t="shared" si="300"/>
        <v>1.0302358064611568</v>
      </c>
      <c r="BR99" s="221"/>
      <c r="BS99" s="221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</row>
    <row r="100" spans="1:138">
      <c r="A100" s="97"/>
      <c r="B100" s="206" t="s">
        <v>668</v>
      </c>
      <c r="I100" s="152"/>
      <c r="J100" s="223"/>
      <c r="K100" s="224"/>
      <c r="L100" s="223"/>
      <c r="M100" s="224"/>
      <c r="N100" s="225"/>
      <c r="O100" s="223">
        <f t="shared" si="282"/>
        <v>1</v>
      </c>
      <c r="P100" s="224"/>
      <c r="Q100" s="224"/>
      <c r="R100" s="224">
        <f t="shared" si="283"/>
        <v>1</v>
      </c>
      <c r="S100" s="224"/>
      <c r="T100" s="224"/>
      <c r="U100" s="224">
        <f t="shared" si="284"/>
        <v>1</v>
      </c>
      <c r="V100" s="224"/>
      <c r="W100" s="224"/>
      <c r="X100" s="224">
        <f t="shared" si="285"/>
        <v>1</v>
      </c>
      <c r="Y100" s="224"/>
      <c r="Z100" s="224"/>
      <c r="AA100" s="224">
        <f t="shared" si="286"/>
        <v>1</v>
      </c>
      <c r="AB100" s="224"/>
      <c r="AC100" s="224"/>
      <c r="AD100" s="224">
        <f t="shared" si="287"/>
        <v>1</v>
      </c>
      <c r="AE100" s="224"/>
      <c r="AF100" s="224"/>
      <c r="AG100" s="224">
        <f t="shared" si="288"/>
        <v>1</v>
      </c>
      <c r="AH100" s="224"/>
      <c r="AI100" s="224"/>
      <c r="AJ100" s="224">
        <f t="shared" si="289"/>
        <v>1</v>
      </c>
      <c r="AK100" s="224"/>
      <c r="AL100" s="224"/>
      <c r="AM100" s="224">
        <f t="shared" si="290"/>
        <v>1</v>
      </c>
      <c r="AN100" s="224"/>
      <c r="AO100" s="224"/>
      <c r="AP100" s="224">
        <f t="shared" si="291"/>
        <v>1</v>
      </c>
      <c r="AQ100" s="224"/>
      <c r="AR100" s="224"/>
      <c r="AS100" s="224">
        <f t="shared" si="292"/>
        <v>1</v>
      </c>
      <c r="AT100" s="224"/>
      <c r="AU100" s="224"/>
      <c r="AV100" s="224">
        <f t="shared" si="293"/>
        <v>1</v>
      </c>
      <c r="AW100" s="224"/>
      <c r="AX100" s="224"/>
      <c r="AY100" s="224">
        <f t="shared" si="294"/>
        <v>1</v>
      </c>
      <c r="AZ100" s="224"/>
      <c r="BA100" s="224"/>
      <c r="BB100" s="224">
        <f t="shared" si="295"/>
        <v>0.89452250487342555</v>
      </c>
      <c r="BC100" s="224"/>
      <c r="BD100" s="224"/>
      <c r="BE100" s="224">
        <f t="shared" si="296"/>
        <v>0.91222228209819844</v>
      </c>
      <c r="BF100" s="224"/>
      <c r="BG100" s="224"/>
      <c r="BH100" s="224">
        <f t="shared" si="297"/>
        <v>1.0425089477664802</v>
      </c>
      <c r="BI100" s="224"/>
      <c r="BJ100" s="224"/>
      <c r="BK100" s="224">
        <f t="shared" si="298"/>
        <v>1.030357875121271</v>
      </c>
      <c r="BL100" s="224"/>
      <c r="BM100" s="224"/>
      <c r="BN100" s="224">
        <f t="shared" si="299"/>
        <v>1.0428464472904193</v>
      </c>
      <c r="BO100" s="224"/>
      <c r="BP100" s="224"/>
      <c r="BQ100" s="224">
        <f t="shared" si="300"/>
        <v>1.0302354730454215</v>
      </c>
      <c r="BR100" s="224"/>
      <c r="BS100" s="224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</row>
    <row r="101" spans="1:138">
      <c r="A101" s="97"/>
      <c r="L101" s="152"/>
      <c r="N101" s="226"/>
      <c r="U101" s="108"/>
      <c r="V101" s="108"/>
    </row>
    <row r="102" spans="1:138">
      <c r="A102" s="97"/>
      <c r="O102" s="227"/>
      <c r="R102" s="227"/>
      <c r="S102" s="227"/>
      <c r="T102" s="227"/>
      <c r="U102" s="227"/>
      <c r="X102" s="227"/>
      <c r="AA102" s="227"/>
      <c r="AD102" s="227"/>
      <c r="AG102" s="227"/>
      <c r="AJ102" s="227"/>
      <c r="AM102" s="227"/>
      <c r="AP102" s="227"/>
      <c r="AS102" s="227"/>
      <c r="AV102" s="227"/>
      <c r="AY102" s="227"/>
      <c r="BB102" s="227"/>
      <c r="BE102" s="227"/>
      <c r="BH102" s="227"/>
      <c r="BK102" s="227"/>
      <c r="BN102" s="227"/>
      <c r="BQ102" s="227"/>
    </row>
    <row r="103" spans="1:138">
      <c r="A103" s="97"/>
      <c r="O103" s="227"/>
      <c r="R103" s="227"/>
      <c r="U103" s="227"/>
    </row>
    <row r="104" spans="1:138">
      <c r="A104" s="97"/>
      <c r="O104" s="227"/>
      <c r="R104" s="227"/>
      <c r="U104" s="227"/>
      <c r="BB104" s="222"/>
      <c r="BE104" s="222"/>
      <c r="BH104" s="222"/>
      <c r="BK104" s="222"/>
      <c r="BN104" s="222"/>
      <c r="BQ104" s="222"/>
    </row>
    <row r="107" spans="1:138">
      <c r="A107" s="97"/>
      <c r="O107" s="144">
        <f t="shared" ref="O107:AT107" si="301">O46+O52</f>
        <v>10944.721671001476</v>
      </c>
      <c r="P107" s="144">
        <f t="shared" si="301"/>
        <v>0</v>
      </c>
      <c r="Q107" s="144">
        <f t="shared" si="301"/>
        <v>0</v>
      </c>
      <c r="R107" s="144">
        <f t="shared" si="301"/>
        <v>6374.654330461819</v>
      </c>
      <c r="S107" s="144">
        <f t="shared" si="301"/>
        <v>0</v>
      </c>
      <c r="T107" s="144">
        <f t="shared" si="301"/>
        <v>0</v>
      </c>
      <c r="U107" s="144">
        <f t="shared" si="301"/>
        <v>3112.8847663567685</v>
      </c>
      <c r="V107" s="144">
        <f t="shared" si="301"/>
        <v>0</v>
      </c>
      <c r="W107" s="144">
        <f t="shared" si="301"/>
        <v>0</v>
      </c>
      <c r="X107" s="144">
        <f t="shared" si="301"/>
        <v>4473.8714524129991</v>
      </c>
      <c r="Y107" s="144">
        <f t="shared" si="301"/>
        <v>0</v>
      </c>
      <c r="Z107" s="144">
        <f t="shared" si="301"/>
        <v>0</v>
      </c>
      <c r="AA107" s="144">
        <f t="shared" si="301"/>
        <v>4380.4805597046097</v>
      </c>
      <c r="AB107" s="144">
        <f t="shared" si="301"/>
        <v>0</v>
      </c>
      <c r="AC107" s="144">
        <f t="shared" si="301"/>
        <v>0</v>
      </c>
      <c r="AD107" s="144">
        <f t="shared" si="301"/>
        <v>16162.422318429599</v>
      </c>
      <c r="AE107" s="144">
        <f t="shared" si="301"/>
        <v>0</v>
      </c>
      <c r="AF107" s="144">
        <f t="shared" si="301"/>
        <v>0</v>
      </c>
      <c r="AG107" s="144">
        <f t="shared" si="301"/>
        <v>30231.330790096297</v>
      </c>
      <c r="AH107" s="144">
        <f t="shared" si="301"/>
        <v>0</v>
      </c>
      <c r="AI107" s="144">
        <f t="shared" si="301"/>
        <v>0</v>
      </c>
      <c r="AJ107" s="144">
        <f t="shared" si="301"/>
        <v>46919.004956087781</v>
      </c>
      <c r="AK107" s="144">
        <f t="shared" si="301"/>
        <v>0</v>
      </c>
      <c r="AL107" s="144">
        <f t="shared" si="301"/>
        <v>0</v>
      </c>
      <c r="AM107" s="144">
        <f t="shared" si="301"/>
        <v>45387.274371050538</v>
      </c>
      <c r="AN107" s="144">
        <f t="shared" si="301"/>
        <v>0</v>
      </c>
      <c r="AO107" s="144">
        <f t="shared" si="301"/>
        <v>0</v>
      </c>
      <c r="AP107" s="144">
        <f t="shared" si="301"/>
        <v>40889.979032005911</v>
      </c>
      <c r="AQ107" s="144">
        <f t="shared" si="301"/>
        <v>0</v>
      </c>
      <c r="AR107" s="144">
        <f t="shared" si="301"/>
        <v>0</v>
      </c>
      <c r="AS107" s="144">
        <f t="shared" si="301"/>
        <v>38716.483434800939</v>
      </c>
      <c r="AT107" s="144">
        <f t="shared" si="301"/>
        <v>0</v>
      </c>
      <c r="AU107" s="144">
        <f t="shared" ref="AU107:BT107" si="302">AU46+AU52</f>
        <v>0</v>
      </c>
      <c r="AV107" s="144">
        <f t="shared" si="302"/>
        <v>36520.131244359109</v>
      </c>
      <c r="AW107" s="144">
        <f t="shared" si="302"/>
        <v>0</v>
      </c>
      <c r="AX107" s="144">
        <f t="shared" si="302"/>
        <v>0</v>
      </c>
      <c r="AY107" s="144">
        <f t="shared" si="302"/>
        <v>34244.986976741828</v>
      </c>
      <c r="AZ107" s="144">
        <f t="shared" si="302"/>
        <v>0</v>
      </c>
      <c r="BA107" s="144">
        <f t="shared" si="302"/>
        <v>0</v>
      </c>
      <c r="BB107" s="144">
        <f t="shared" si="302"/>
        <v>27839.055029359799</v>
      </c>
      <c r="BC107" s="144">
        <f t="shared" si="302"/>
        <v>0</v>
      </c>
      <c r="BD107" s="144">
        <f t="shared" si="302"/>
        <v>0</v>
      </c>
      <c r="BE107" s="144">
        <f t="shared" si="302"/>
        <v>31844.524609119901</v>
      </c>
      <c r="BF107" s="144">
        <f t="shared" si="302"/>
        <v>0</v>
      </c>
      <c r="BG107" s="144">
        <f t="shared" si="302"/>
        <v>0</v>
      </c>
      <c r="BH107" s="144">
        <f t="shared" si="302"/>
        <v>27839.055029359799</v>
      </c>
      <c r="BI107" s="144">
        <f t="shared" si="302"/>
        <v>0</v>
      </c>
      <c r="BJ107" s="144">
        <f t="shared" si="302"/>
        <v>0</v>
      </c>
      <c r="BK107" s="144">
        <f t="shared" si="302"/>
        <v>27839.055029359799</v>
      </c>
      <c r="BL107" s="144">
        <f t="shared" si="302"/>
        <v>0</v>
      </c>
      <c r="BM107" s="144">
        <f t="shared" si="302"/>
        <v>0</v>
      </c>
      <c r="BN107" s="144">
        <f t="shared" si="302"/>
        <v>27839.055029359799</v>
      </c>
      <c r="BO107" s="144">
        <f t="shared" si="302"/>
        <v>0</v>
      </c>
      <c r="BP107" s="144">
        <f t="shared" si="302"/>
        <v>0</v>
      </c>
      <c r="BQ107" s="144">
        <f t="shared" si="302"/>
        <v>27839.055029359799</v>
      </c>
      <c r="BR107" s="144">
        <f t="shared" si="302"/>
        <v>0</v>
      </c>
      <c r="BS107" s="144">
        <f t="shared" si="302"/>
        <v>0</v>
      </c>
      <c r="BT107" s="144">
        <f t="shared" si="302"/>
        <v>342862.02287117648</v>
      </c>
    </row>
  </sheetData>
  <mergeCells count="11">
    <mergeCell ref="H4:X4"/>
    <mergeCell ref="A6:O6"/>
    <mergeCell ref="A7:C7"/>
    <mergeCell ref="E7:BE7"/>
    <mergeCell ref="BT7:EH7"/>
    <mergeCell ref="BT8:BT9"/>
    <mergeCell ref="A8:A9"/>
    <mergeCell ref="B8:B9"/>
    <mergeCell ref="C8:C9"/>
    <mergeCell ref="D8:D9"/>
    <mergeCell ref="E8:E9"/>
  </mergeCells>
  <conditionalFormatting sqref="S88:T88">
    <cfRule type="cellIs" dxfId="21" priority="2" operator="lessThan">
      <formula>0</formula>
    </cfRule>
  </conditionalFormatting>
  <conditionalFormatting sqref="V88:W88">
    <cfRule type="cellIs" dxfId="20" priority="3" operator="lessThan">
      <formula>0</formula>
    </cfRule>
  </conditionalFormatting>
  <conditionalFormatting sqref="Y88:Z88">
    <cfRule type="cellIs" dxfId="19" priority="4" operator="lessThan">
      <formula>0</formula>
    </cfRule>
  </conditionalFormatting>
  <conditionalFormatting sqref="AB88:AC88">
    <cfRule type="cellIs" dxfId="18" priority="5" operator="lessThan">
      <formula>0</formula>
    </cfRule>
  </conditionalFormatting>
  <conditionalFormatting sqref="AE88:AF88">
    <cfRule type="cellIs" dxfId="17" priority="6" operator="lessThan">
      <formula>0</formula>
    </cfRule>
  </conditionalFormatting>
  <conditionalFormatting sqref="AH88:AI88">
    <cfRule type="cellIs" dxfId="16" priority="7" operator="lessThan">
      <formula>0</formula>
    </cfRule>
  </conditionalFormatting>
  <conditionalFormatting sqref="AK88:AL88">
    <cfRule type="cellIs" dxfId="15" priority="8" operator="lessThan">
      <formula>0</formula>
    </cfRule>
  </conditionalFormatting>
  <conditionalFormatting sqref="AN88:AO88">
    <cfRule type="cellIs" dxfId="14" priority="9" operator="lessThan">
      <formula>0</formula>
    </cfRule>
  </conditionalFormatting>
  <conditionalFormatting sqref="AQ88:AR88">
    <cfRule type="cellIs" dxfId="13" priority="10" operator="lessThan">
      <formula>0</formula>
    </cfRule>
  </conditionalFormatting>
  <conditionalFormatting sqref="AT88:AU88">
    <cfRule type="cellIs" dxfId="12" priority="11" operator="lessThan">
      <formula>0</formula>
    </cfRule>
  </conditionalFormatting>
  <conditionalFormatting sqref="AW88:AX88">
    <cfRule type="cellIs" dxfId="11" priority="12" operator="lessThan">
      <formula>0</formula>
    </cfRule>
  </conditionalFormatting>
  <conditionalFormatting sqref="AZ88:BA88">
    <cfRule type="cellIs" dxfId="10" priority="13" operator="lessThan">
      <formula>0</formula>
    </cfRule>
  </conditionalFormatting>
  <conditionalFormatting sqref="BC88:BD88">
    <cfRule type="cellIs" dxfId="9" priority="14" operator="lessThan">
      <formula>0</formula>
    </cfRule>
  </conditionalFormatting>
  <conditionalFormatting sqref="BF88:BG88">
    <cfRule type="cellIs" dxfId="8" priority="15" operator="lessThan">
      <formula>0</formula>
    </cfRule>
  </conditionalFormatting>
  <conditionalFormatting sqref="BH88">
    <cfRule type="cellIs" dxfId="7" priority="16" operator="lessThan">
      <formula>0</formula>
    </cfRule>
  </conditionalFormatting>
  <conditionalFormatting sqref="BI88:BJ88">
    <cfRule type="cellIs" dxfId="6" priority="17" operator="lessThan">
      <formula>0</formula>
    </cfRule>
  </conditionalFormatting>
  <conditionalFormatting sqref="BK88">
    <cfRule type="cellIs" dxfId="5" priority="18" operator="lessThan">
      <formula>0</formula>
    </cfRule>
  </conditionalFormatting>
  <conditionalFormatting sqref="BL88:BM88">
    <cfRule type="cellIs" dxfId="4" priority="19" operator="lessThan">
      <formula>0</formula>
    </cfRule>
  </conditionalFormatting>
  <conditionalFormatting sqref="BN88">
    <cfRule type="cellIs" dxfId="3" priority="20" operator="lessThan">
      <formula>0</formula>
    </cfRule>
  </conditionalFormatting>
  <conditionalFormatting sqref="BO88:BP88">
    <cfRule type="cellIs" dxfId="2" priority="21" operator="lessThan">
      <formula>0</formula>
    </cfRule>
  </conditionalFormatting>
  <conditionalFormatting sqref="BQ88">
    <cfRule type="cellIs" dxfId="1" priority="22" operator="lessThan">
      <formula>0</formula>
    </cfRule>
  </conditionalFormatting>
  <conditionalFormatting sqref="BR88:BS88">
    <cfRule type="cellIs" dxfId="0" priority="23" operator="lessThan">
      <formula>0</formula>
    </cfRule>
  </conditionalFormatting>
  <pageMargins left="0.69791666666666696" right="0.69791666666666696" top="0.75" bottom="0.75" header="0.51041666666666696" footer="0.51041666666666696"/>
  <pageSetup paperSize="9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Прил 3(5)</vt:lpstr>
      <vt:lpstr>Прил 6 (8)</vt:lpstr>
      <vt:lpstr>Прил 7 страннотчет </vt:lpstr>
      <vt:lpstr>ВВ (прил. 9)</vt:lpstr>
      <vt:lpstr>Расх.на рек. (прил. 10)</vt:lpstr>
      <vt:lpstr>Кап.рем. (прил.2)</vt:lpstr>
      <vt:lpstr>ИП выполнение (прил. 3)</vt:lpstr>
      <vt:lpstr>ИП финансир (прил. 4)</vt:lpstr>
      <vt:lpstr>Прил.9 корр</vt:lpstr>
      <vt:lpstr>Прил.10 корр</vt:lpstr>
      <vt:lpstr>Расчет потерь, аварийности</vt:lpstr>
      <vt:lpstr>'Прил 3(5)'!_ФильтрБазыДанных</vt:lpstr>
      <vt:lpstr>'ВВ (прил. 9)'!Заголовки_для_печати</vt:lpstr>
      <vt:lpstr>'ИП выполнение (прил. 3)'!Заголовки_для_печати</vt:lpstr>
      <vt:lpstr>'ИП финансир (прил. 4)'!Заголовки_для_печати</vt:lpstr>
      <vt:lpstr>'Кап.рем. (прил.2)'!Заголовки_для_печати</vt:lpstr>
      <vt:lpstr>'Прил 3(5)'!Заголовки_для_печати</vt:lpstr>
      <vt:lpstr>'Прил 6 (8)'!Заголовки_для_печати</vt:lpstr>
      <vt:lpstr>'Прил 7 страннотчет '!Заголовки_для_печати</vt:lpstr>
      <vt:lpstr>'ВВ (прил. 9)'!Область_печати</vt:lpstr>
      <vt:lpstr>'Кап.рем. (прил.2)'!Область_печати</vt:lpstr>
      <vt:lpstr>'Прил 3(5)'!Область_печати</vt:lpstr>
      <vt:lpstr>'Прил 6 (8)'!Область_печати</vt:lpstr>
      <vt:lpstr>'Прил 7 страннотчет '!Область_печати</vt:lpstr>
      <vt:lpstr>'Расх.на рек. (прил. 10)'!Область_печати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Нагибина Ольга Валерьевна</cp:lastModifiedBy>
  <cp:revision>1</cp:revision>
  <cp:lastPrinted>2023-11-15T09:15:39Z</cp:lastPrinted>
  <dcterms:created xsi:type="dcterms:W3CDTF">2016-12-04T12:57:00Z</dcterms:created>
  <dcterms:modified xsi:type="dcterms:W3CDTF">2023-11-15T11:24:49Z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1049-11.2.0.9396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